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850" activeTab="1"/>
  </bookViews>
  <sheets>
    <sheet name="Distt.Wise" sheetId="1" r:id="rId1"/>
    <sheet name="Ikhlas" sheetId="2" r:id="rId2"/>
    <sheet name="DG KHAN" sheetId="3" r:id="rId3"/>
    <sheet name="RAJANPUR" sheetId="4" r:id="rId4"/>
    <sheet name="Pindori" sheetId="5" r:id="rId5"/>
    <sheet name="Pariwali" sheetId="6" r:id="rId6"/>
    <sheet name="Minwal" sheetId="7" r:id="rId7"/>
    <sheet name="Turkwal" sheetId="8" r:id="rId8"/>
    <sheet name="KIRTHAR SOUTH" sheetId="9" r:id="rId9"/>
    <sheet name="Data" sheetId="10" state="hidden" r:id="rId10"/>
    <sheet name="Hyderabad" sheetId="11" state="hidden" r:id="rId11"/>
  </sheets>
  <definedNames>
    <definedName name="_xlnm.Print_Area" localSheetId="2">'DG KHAN'!$A$1:$S$44</definedName>
    <definedName name="_xlnm.Print_Area" localSheetId="0">'Distt.Wise'!$A$1:$K$24</definedName>
    <definedName name="_xlnm.Print_Area" localSheetId="10">'Hyderabad'!$A$1:$K$16</definedName>
    <definedName name="_xlnm.Print_Area" localSheetId="1">'Ikhlas'!$A$1:$Q$47</definedName>
    <definedName name="_xlnm.Print_Area" localSheetId="8">'KIRTHAR SOUTH'!$A$1:$T$56</definedName>
    <definedName name="_xlnm.Print_Area" localSheetId="6">'Minwal'!$A$1:$U$82</definedName>
    <definedName name="_xlnm.Print_Area" localSheetId="5">'Pariwali'!$A$1:$U$144</definedName>
    <definedName name="_xlnm.Print_Area" localSheetId="4">'Pindori'!$A$1:$R$141</definedName>
    <definedName name="_xlnm.Print_Area" localSheetId="3">'RAJANPUR'!$A$1:$T$23</definedName>
    <definedName name="_xlnm.Print_Area" localSheetId="7">'Turkwal'!$A$1:$V$60</definedName>
    <definedName name="_xlnm.Print_Titles" localSheetId="2">'DG KHAN'!$1:$8</definedName>
    <definedName name="_xlnm.Print_Titles" localSheetId="10">'Hyderabad'!$1:$8</definedName>
    <definedName name="_xlnm.Print_Titles" localSheetId="1">'Ikhlas'!$1:$8</definedName>
    <definedName name="_xlnm.Print_Titles" localSheetId="8">'KIRTHAR SOUTH'!$1:$8</definedName>
    <definedName name="_xlnm.Print_Titles" localSheetId="6">'Minwal'!$1:$8</definedName>
    <definedName name="_xlnm.Print_Titles" localSheetId="5">'Pariwali'!$1:$8</definedName>
    <definedName name="_xlnm.Print_Titles" localSheetId="4">'Pindori'!$1:$8</definedName>
    <definedName name="_xlnm.Print_Titles" localSheetId="3">'RAJANPUR'!$1:$8</definedName>
    <definedName name="_xlnm.Print_Titles" localSheetId="7">'Turkwal'!$1:$8</definedName>
  </definedNames>
  <calcPr fullCalcOnLoad="1"/>
</workbook>
</file>

<file path=xl/sharedStrings.xml><?xml version="1.0" encoding="utf-8"?>
<sst xmlns="http://schemas.openxmlformats.org/spreadsheetml/2006/main" count="990" uniqueCount="468">
  <si>
    <t>US$</t>
  </si>
  <si>
    <t>Obligation</t>
  </si>
  <si>
    <t>Year</t>
  </si>
  <si>
    <t>PAKISTAN OILFIELDS LIMITED</t>
  </si>
  <si>
    <t>2567-3</t>
  </si>
  <si>
    <t>TOTAL</t>
  </si>
  <si>
    <t>Provisons</t>
  </si>
  <si>
    <t>Total Expenditure</t>
  </si>
  <si>
    <t>Fund Available</t>
  </si>
  <si>
    <t>Grand Total Summary of POL Concessions</t>
  </si>
  <si>
    <t>This sheet is used for common data &amp; for reconciliations of all sheets</t>
  </si>
  <si>
    <t>NOTE</t>
  </si>
  <si>
    <t>As per Sch</t>
  </si>
  <si>
    <t>As per Sheets</t>
  </si>
  <si>
    <t>Diff</t>
  </si>
  <si>
    <t>SOCIAL WELFARE OBLIGATION AS AT DECEMBER 31, 2010</t>
  </si>
  <si>
    <t>Over/(Under)</t>
  </si>
  <si>
    <t>Annual</t>
  </si>
  <si>
    <t>Per PCA</t>
  </si>
  <si>
    <t>US $</t>
  </si>
  <si>
    <t xml:space="preserve">Date of </t>
  </si>
  <si>
    <t>Grant</t>
  </si>
  <si>
    <t>Expiry or</t>
  </si>
  <si>
    <t>Continue</t>
  </si>
  <si>
    <t>Exploration Licence(EL)</t>
  </si>
  <si>
    <t>(Name &amp; No.)</t>
  </si>
  <si>
    <t>&amp; Development Lease (DL)</t>
  </si>
  <si>
    <t>(Name &amp; No.) (District(s))</t>
  </si>
  <si>
    <t>Spent</t>
  </si>
  <si>
    <t>Balance US $</t>
  </si>
  <si>
    <t>Name of</t>
  </si>
  <si>
    <t>Name &amp;</t>
  </si>
  <si>
    <t>Designation who</t>
  </si>
  <si>
    <t>endorsed the scheme</t>
  </si>
  <si>
    <t>To whom</t>
  </si>
  <si>
    <t>Scheme</t>
  </si>
  <si>
    <t>handed over after completion</t>
  </si>
  <si>
    <t>Village / Goth</t>
  </si>
  <si>
    <t>SOCIAL WELFARE OBLIGATION</t>
  </si>
  <si>
    <t>Hyderabad EL.</t>
  </si>
  <si>
    <t>Unspent amount of US $ 76,658 transferred from Hyderabad to Kirthar South</t>
  </si>
  <si>
    <t>Amount</t>
  </si>
  <si>
    <t xml:space="preserve">Name of Schemes / Description / Village </t>
  </si>
  <si>
    <t>28-June-2003</t>
  </si>
  <si>
    <t>%</t>
  </si>
  <si>
    <t>Attock</t>
  </si>
  <si>
    <t>Chakwal</t>
  </si>
  <si>
    <t>Dadu</t>
  </si>
  <si>
    <t>Thatta</t>
  </si>
  <si>
    <t>Barkhan</t>
  </si>
  <si>
    <t>Rajanpur</t>
  </si>
  <si>
    <t>Pariwali</t>
  </si>
  <si>
    <t>Minwal</t>
  </si>
  <si>
    <t>Turkwal</t>
  </si>
  <si>
    <t>Ikhlas</t>
  </si>
  <si>
    <t>Kirthar South</t>
  </si>
  <si>
    <t>Lasbela</t>
  </si>
  <si>
    <t>Total</t>
  </si>
  <si>
    <t>S.No.</t>
  </si>
  <si>
    <t>Block</t>
  </si>
  <si>
    <t>Districts</t>
  </si>
  <si>
    <t>District wise area &amp; percentage</t>
  </si>
  <si>
    <t>Amount spent US$</t>
  </si>
  <si>
    <t>Amount Deposited US$</t>
  </si>
  <si>
    <t>Balance</t>
  </si>
  <si>
    <t xml:space="preserve">Area </t>
  </si>
  <si>
    <t>D.G.Khan</t>
  </si>
  <si>
    <t>Rajan Pur</t>
  </si>
  <si>
    <t xml:space="preserve">Pindori </t>
  </si>
  <si>
    <t>Jamshoro</t>
  </si>
  <si>
    <t xml:space="preserve">Rawalpindi </t>
  </si>
  <si>
    <t>Sub Total</t>
  </si>
  <si>
    <t>District wise share US$</t>
  </si>
  <si>
    <t>Grant Date</t>
  </si>
  <si>
    <t>Expiry Date</t>
  </si>
  <si>
    <t>15-06-2006</t>
  </si>
  <si>
    <t>22-11-2003</t>
  </si>
  <si>
    <t>21-01-2010</t>
  </si>
  <si>
    <t>20-01-2014</t>
  </si>
  <si>
    <t>20-01-2016</t>
  </si>
  <si>
    <t>31/03/2018</t>
  </si>
  <si>
    <t>26/08/1999</t>
  </si>
  <si>
    <t>25/08/2015</t>
  </si>
  <si>
    <t>*</t>
  </si>
  <si>
    <t>Districts Falling in the Licences / Lease Areas</t>
  </si>
  <si>
    <t>District Wise Area &amp; Percentage</t>
  </si>
  <si>
    <t>District Wise Share</t>
  </si>
  <si>
    <t>Area sqkm</t>
  </si>
  <si>
    <t>10 &amp; 11</t>
  </si>
  <si>
    <t>Ikhlas EL.</t>
  </si>
  <si>
    <t xml:space="preserve">22-Nov-2003 </t>
  </si>
  <si>
    <t>All Schemes are Endored by
Ch. Perviaz Ellahi
PML (Q)</t>
  </si>
  <si>
    <t>Obtained NOC from DCO - Attock for execute the schemes.</t>
  </si>
  <si>
    <t>Attock, Punjab</t>
  </si>
  <si>
    <t>Continuing</t>
  </si>
  <si>
    <t>GOVT BOYS &amp; GIRLS HIGH SCHOOL MANGIAN VILLAGE</t>
  </si>
  <si>
    <t>GOVT BOYS PRIMARY SCHOOL NANGWANI VILLAGE</t>
  </si>
  <si>
    <t>CONSTRUCTION OF 01 CLASS ROOM (14X18) WITH 8" VERANDAH G.B.H.S MIAN WALA VILLAGE</t>
  </si>
  <si>
    <t>CONSTRUCTION OF 02 TOILETS AT G.G.H.S MIAN WALA VILLAGE</t>
  </si>
  <si>
    <t>CONSTRUCTION OF 02 TOILETS AT G.G.P.S NANGAWALI VILLAGE</t>
  </si>
  <si>
    <t>LABORATORY APPARATUS FOR G.B.H.S MAGHIAN VILLAGE</t>
  </si>
  <si>
    <t>SCHOOL FURNITURE 20 DESKS AND 2 TEACHER TABLE/CHAIR AT G.B.H.S MIAN WALA VILLAGE</t>
  </si>
  <si>
    <t>SCHOOL FURNITURE 20 DESKS AND 2 TEACHER TABLE/CHAIR AT G.G.H.S MIAN WALA VILLAGE</t>
  </si>
  <si>
    <t>PROVISION OF ELECTRIFICATION AT MALIK ATTA AT DHOKE DOMIYAL VILLAGE</t>
  </si>
  <si>
    <t>CONSTURCTION OF (1) CLASS ROOM WITH VERANDAH (20'X16') AT G.B.P.S DOMIYAL VILLAGE</t>
  </si>
  <si>
    <t>CONST. OF TWO TOILETS AT G.B.P.S DOMIYAL VILAGE</t>
  </si>
  <si>
    <t>2012</t>
  </si>
  <si>
    <t>CONSTRUCTION OF CONCRETE PAVEMENT OF STREET (85’X10’), (85X15') ALONG WITH ONE SIDE DRAIN. REF: START FORM HAJI MUSLIM HOUSE TILL MAIN STREET.</t>
  </si>
  <si>
    <t>CONSTRUCTION OF CONCRETE PAVEMENT OF STREET (212'X11') ALONG WITH ONE SIDE DRAIN. REF: START FROM GUL NAWAZ HOUSE TILL MIAN KHAN SHOP.</t>
  </si>
  <si>
    <t>CONSTRUCTION OF CONCRETE PAVEMENT OF STREET (442'X11') ALONG WITH ONE SIDE DRAIN. REF: START FROM HAFIZ MUBASHER HOUSE TILL WHITE MOSQUE</t>
  </si>
  <si>
    <t>COSTRUCTION OF CONCRETE PAVEMENT (300'X15') FORM MUQADER ALI HOUSE TO MUHAMMAD SHAH HOUSEAT GANGA WALI, MIANWALA VILLAGE.</t>
  </si>
  <si>
    <t>2013</t>
  </si>
  <si>
    <t>2014</t>
  </si>
  <si>
    <t>CONST CAUSEWAY AT DHOK ASLAM BIDHER MIAN WALA</t>
  </si>
  <si>
    <t>CONST CAUSEWAY NEAR ABDUL SATTAR HOUSE AT MIAN WALA</t>
  </si>
  <si>
    <t>CONST TST ROAD (1000' X 10') AT MAIN GRAVEYARD JHANDIAL</t>
  </si>
  <si>
    <t>2015</t>
  </si>
  <si>
    <t xml:space="preserve">CONSTRUCTION OF CONCERTE PAVEMENT OF STREET (350'X15') WITH BOTH SIDE DRAIN FROM HAJI ALLAH DITTA HOUSE TO HAJI MUHAMMAD DIN HOUSE AT LANGRIAL VILLAGE.
</t>
  </si>
  <si>
    <t>2016</t>
  </si>
  <si>
    <t>District wise share</t>
  </si>
  <si>
    <t>DG Khan</t>
  </si>
  <si>
    <t>DG KHAN E.L</t>
  </si>
  <si>
    <t xml:space="preserve">21-Jan-2010 </t>
  </si>
  <si>
    <t>2969-10</t>
  </si>
  <si>
    <t>DG Khan, Barkhan</t>
  </si>
  <si>
    <t>Punjab/Balochistan</t>
  </si>
  <si>
    <t>Reasons for Un-discharged Obligation</t>
  </si>
  <si>
    <t>Audit Certificates for Schemes Completed</t>
  </si>
  <si>
    <t>Area sqkmm</t>
  </si>
  <si>
    <t>RAJANPUR</t>
  </si>
  <si>
    <t>See Note 1 below</t>
  </si>
  <si>
    <t>See Note 2 below</t>
  </si>
  <si>
    <t>2970-5</t>
  </si>
  <si>
    <t>DG Kahn</t>
  </si>
  <si>
    <t>Rajanpur &amp; DG Khan</t>
  </si>
  <si>
    <t>Punjab</t>
  </si>
  <si>
    <t>Pindori D &amp; P Lease</t>
  </si>
  <si>
    <t>POL was granted operatorshop of Soan Concession on October 2nd, 1993. Pindori D&amp;P Lease was granted on April 12, 1995. (Cotinuing)</t>
  </si>
  <si>
    <t>Rawalpindi</t>
  </si>
  <si>
    <t>All Schemes are Endored by
Ch. Nisar Ali Khan 
         PML (N)</t>
  </si>
  <si>
    <t>Obtained the NOC from DCO - Rawalpindi for execute the scheme</t>
  </si>
  <si>
    <t>(Soan Concession)</t>
  </si>
  <si>
    <t>Rawalpindi, Punjab</t>
  </si>
  <si>
    <t xml:space="preserve">GOVT GIRLS PRIMARY SCHOOL, PINDORI      </t>
  </si>
  <si>
    <t xml:space="preserve">GOVT BOYS PRIMARY SCHOOL, MAHMOODA       </t>
  </si>
  <si>
    <t xml:space="preserve">GOVT GIRLS PRIMARY SCHOOL, BAHIA BALOTI         </t>
  </si>
  <si>
    <t xml:space="preserve">GOVT GIRLS PRIMARY SCHOOL, BAINS                     </t>
  </si>
  <si>
    <t xml:space="preserve">BOYS PRIMARY SCHOOL - RUPPER  KHURD </t>
  </si>
  <si>
    <t xml:space="preserve">GIRLS PRIMARY SCHOOL  - RUPPER  KHURD </t>
  </si>
  <si>
    <t xml:space="preserve">BOYS PRIMARY SCHOOL - PINDORI </t>
  </si>
  <si>
    <t xml:space="preserve">BOYS HIGH SCHOOL - CHAK BELI KHAN </t>
  </si>
  <si>
    <t xml:space="preserve">CHAK BELI EAST LINK ROAD - 2 KM </t>
  </si>
  <si>
    <t xml:space="preserve">ROAD FOR VILLAGE BAINS  </t>
  </si>
  <si>
    <t xml:space="preserve">ROAD FOR VILLAGE BANOTI / BAHIA </t>
  </si>
  <si>
    <t xml:space="preserve">ROAD FOR VILLAGE JHANGI </t>
  </si>
  <si>
    <t xml:space="preserve">WATER SUPPLY SCHEME </t>
  </si>
  <si>
    <t xml:space="preserve">RUPPER KHURD LINK ROAD  </t>
  </si>
  <si>
    <t xml:space="preserve">ROAD BETWEEN PINDORI &amp; CHAK BELI KHAN  </t>
  </si>
  <si>
    <t xml:space="preserve">GOVT BOYS PRIMARY SCHOOL AT RUPPER KHURD </t>
  </si>
  <si>
    <t xml:space="preserve">RE-CONST OF BOUNDARY WALL PRIMARY SCH. BAHIA BANETI </t>
  </si>
  <si>
    <t xml:space="preserve">GOVT. BOYS HIGH SCHOLL, CHAK BELI KHAN </t>
  </si>
  <si>
    <t xml:space="preserve">METALLED LINK ROAD (1.25 KM), VILLAGE JHANGI </t>
  </si>
  <si>
    <t xml:space="preserve"> PAVEMENT OF STREET, VILLAGE BANOTI </t>
  </si>
  <si>
    <t xml:space="preserve">UPLIFTING OF WATER WELL AND BRICK PAVING OF WALKWAY VILL BAHIA </t>
  </si>
  <si>
    <t xml:space="preserve">BRICK PAVEMENT OF STREET VILLAGE BAHIA, BANOTI,DHOK BHATTI </t>
  </si>
  <si>
    <t xml:space="preserve">ELECTRIFICATION OF DHOK FARIDABAD </t>
  </si>
  <si>
    <t xml:space="preserve"> GOVT GIRLS PRIMARY SCHOOL, DHOK BHATTI </t>
  </si>
  <si>
    <t xml:space="preserve"> BOYS PRIMARY SCHOOL - PINDORI </t>
  </si>
  <si>
    <t xml:space="preserve">DEGREE COLLEGE, CHAKBELI KHAN </t>
  </si>
  <si>
    <t xml:space="preserve">ROAD FOR BHAI, BANOTI AND DHOK BHATTI </t>
  </si>
  <si>
    <t xml:space="preserve"> MAIN SIDE DRAIN, VILLAGE BAINS </t>
  </si>
  <si>
    <t xml:space="preserve"> DEGREE COLLEGE, CHAKBELI KHAN </t>
  </si>
  <si>
    <t xml:space="preserve"> CONST.L.ROAD 0.5KM+CULVERT MAIN PLANT GATE, CHAKBELI KHAN  </t>
  </si>
  <si>
    <t xml:space="preserve"> BRICK PAVEMENT ST250RFT X 12 FT WIDE, VILLAGE BAHIA </t>
  </si>
  <si>
    <t xml:space="preserve"> GOVT BOYS PRIMARY SCHOOL, DHOK BHATTI </t>
  </si>
  <si>
    <t xml:space="preserve"> CONSTRUCTION OF WALL GOVT. BOYS PRIMARY SCHOOL, MEHMOODA </t>
  </si>
  <si>
    <t xml:space="preserve"> CONSTRUCTION OF WALL GOVT GIRLS MIDDLE SCHOOL, RAIKA MAIRA </t>
  </si>
  <si>
    <t xml:space="preserve"> GOVT GIRLS PRIMARY SCHOOL, KALA GUJRAN </t>
  </si>
  <si>
    <t xml:space="preserve"> BRICK PAVEMENT OF MAIN STREET, DHOKE FARID </t>
  </si>
  <si>
    <t xml:space="preserve"> GOVT BOYS PRIMARY SCHOOL, DATTA BHATT </t>
  </si>
  <si>
    <t xml:space="preserve"> POL DISPENSARY </t>
  </si>
  <si>
    <t xml:space="preserve"> REPAIR/TST ROAD BAINS TO SYED KASRAN LINK ROAD APPROX. 8KM, VILLAGE BAINS </t>
  </si>
  <si>
    <t xml:space="preserve"> CONST. LINK ROAD FROM DHOK BHATTI TO VILLAGE BAHIA APPROX 2.2KM </t>
  </si>
  <si>
    <t xml:space="preserve"> CAUSEWAY/CULVERT ON DHOK BHATTI LINK ROAD </t>
  </si>
  <si>
    <t xml:space="preserve"> CONSTRUCTION OF 3 BUS STOPS/WAITING ROOMS AT CHAKBELI KHAN, MEHMMODA &amp;  DHANDA </t>
  </si>
  <si>
    <t xml:space="preserve"> CONST OF CLASSROOM 20X16 WITH VERANDHA 8FT &amp;15 DESKS WITH TABLE CHAIR AT G.P.S HAKIMAL </t>
  </si>
  <si>
    <t xml:space="preserve"> PROVISION OF 25SETS DESKS/BENCH/ TABLE/CHAIR- AT GBPS&amp;GGPS VILLAGE BAINS </t>
  </si>
  <si>
    <t xml:space="preserve"> T.S.T JOB DURING ACQUIRING OF LAND FOR WIW1 FROM BAINS CHOWK TO PINDORI VILLAGE </t>
  </si>
  <si>
    <t xml:space="preserve"> CONSTR OF MAIN DRAIN 600RFT WITH 2 CULTURTS AT G.G.P.S PIND </t>
  </si>
  <si>
    <t xml:space="preserve"> 2 TIOLETS AT G.G.P.S PINDORI </t>
  </si>
  <si>
    <t xml:space="preserve"> 20 SETS DESKS BENCH &amp; 1 TABLE CHAIRS AT G.G.P.S PINDORI </t>
  </si>
  <si>
    <t xml:space="preserve"> CONCRETE PAVEMENT OF MAIN &amp; LINK STREETS AT VILLAGE BHAIA </t>
  </si>
  <si>
    <t xml:space="preserve"> SIDE DRAIN (YASIN HOUSE TO ISHFAQ HOUSE) AT VILLAGE BHAIA </t>
  </si>
  <si>
    <t xml:space="preserve"> RETAINING WALLS OF POUNDS AT VILLAGE BHAIA </t>
  </si>
  <si>
    <t xml:space="preserve"> CONST.OF 1 CLASSROOM 20X16 WITH VERANDHA 8FT BOUNDARY WALL AT G.B.P.S BHAIA </t>
  </si>
  <si>
    <t xml:space="preserve"> 15 SETS DESKS BENCH &amp; 1 TABLE CHAIRS TEACHER SET AT G.B.P.S BHAIA </t>
  </si>
  <si>
    <t xml:space="preserve"> ELECTRIC CONNECTION FOR G.B.P.S &amp; G.G.P.S VILLAGE BAINS </t>
  </si>
  <si>
    <t xml:space="preserve"> 4 TEACHERS TABLE, 4 TEACHERS CHAIRS AT G.B.P.S VILLAGE BAINS </t>
  </si>
  <si>
    <t xml:space="preserve"> 6 TEACHERS TABLE, 6 TEACHERS CHAIRS AT G.G.P.S VILLAGE BAINS </t>
  </si>
  <si>
    <t xml:space="preserve"> CONST.OF 2 CLASSROOM WITH VERANDHA 8' AT G.G.P.S DHOK BHATTI </t>
  </si>
  <si>
    <t xml:space="preserve"> TOILETS FOR POST OFFICE AT CHAKBELI KHAN </t>
  </si>
  <si>
    <t xml:space="preserve"> CONST. OF ONE SIDE DRAIN &amp; REPAIRING OF ROAD NEAR "T" JUNCTION CHAK BELI KHAN ROAD </t>
  </si>
  <si>
    <t xml:space="preserve"> CONCRETE PAVEMENT 240 X 10 AT MALIK SAKAWAT STREET AT G.B.P.S CHAKBELI KHAN </t>
  </si>
  <si>
    <t xml:space="preserve"> PROVISION OF ELEC.AND INSTTL. OF TWO ELECRTIC TRANSFORMERS AT DHOKE DHUMANABAD </t>
  </si>
  <si>
    <t>All Schemes are Endored by
Capt. (R) Muhammad Safdar
PML (N)</t>
  </si>
  <si>
    <t xml:space="preserve"> POL DEGREE COLLEGE CHAKBELI KHAN </t>
  </si>
  <si>
    <t xml:space="preserve"> 30 SETS DESKS BENCH &amp; 1 TABLE CHAIRS TEACHER SET AT G.G.P.S VILLAGE DHOK BHATTI </t>
  </si>
  <si>
    <t xml:space="preserve"> CONSTRUCTION  OF CONCRETE PAVEMENT IN STREETS (1050RFT X 8'') DATA BHATT VILLAGE </t>
  </si>
  <si>
    <t>All Schemes are Endored by
Raja Pervaiz 
Ashraf (PPP)</t>
  </si>
  <si>
    <t xml:space="preserve"> CONSTRUCTION OF BOUNDARY WALL (330 RFT X 6.5'') &amp; EARTH FILLING IN COURTYARD G.B.M.S
 DATA BHATT VILLAGE                          </t>
  </si>
  <si>
    <t xml:space="preserve"> CONSTRUCTION OF 02 NOS TOILETS (6''X 5'') WITH SEPTIC TANK G.G.M.S DATA BHATT VILLAGE </t>
  </si>
  <si>
    <t xml:space="preserve">CONSTRUCTION OF 2 CLASS ROOMS (18X14) WITH VARANDAH AT GGES AT DATA BHATT VILLAGE </t>
  </si>
  <si>
    <t xml:space="preserve">STUDENT DESK BENCH 30 DESK BENCH 2 TEACHER TABLE CHAIR AT GGES AT DATA BHATT VILLAGE </t>
  </si>
  <si>
    <t xml:space="preserve">CONSTRUCTION OF CONCRETE PAVEMENT OF STREET (420' X 12') AT DATA BHATT VILLAGE </t>
  </si>
  <si>
    <t xml:space="preserve">CONSTRUCTION OF CONCRETE PAVEMENT OF STREET (450' X 10') ALONG WITH CENTERAL DRAIN AT DATA BHATT VILLAGE </t>
  </si>
  <si>
    <t xml:space="preserve">CONSTRUCTION OF CONCRETE PAVEMENT (350' X 12') FROM JAMAH MASJID TO MASTER BABO TUBE WELL DHOKE GHAZI </t>
  </si>
  <si>
    <t xml:space="preserve">CONSTRUCTION OF CONCRETE PAVEMENT (1350' X 10') FROM ENTRANCE OF DHOKE PANHA TO SHER ZAMAN HOUSE JOINING VILLAGE FROM MAIN ROAD AT DHOKE PANHA.                                                    </t>
  </si>
  <si>
    <t>CONSTRUCTION OF CONCRETE PAVEMENT (350' X 12') FROM JAMAH MASJID TO MASTER BABO TUBE WELL</t>
  </si>
  <si>
    <t>TST / REPAIRING OF ROAD (4000 RFT, 10' WIDTH) FROM DHOK GHAZI MOR TO DHOK CHAPPER MOR</t>
  </si>
  <si>
    <t>CONSTRUCTION OF CONCRETE PAVEMENT (1350' X 10') FROM ENTRANCE OF DHOKE PANHA TO SHER ZAMAN HOUSE JOINING VILLAGE FROM MAIN ROAD AT DHOKE PANHA.</t>
  </si>
  <si>
    <t>CONSTRUCTION OF CONCRETE PAVEMENT (170' X9') INCLUDING CENTRAL DRAIN FROM BILAL HOUSE TO FAISAL HOUSE</t>
  </si>
  <si>
    <t>CONSTRUCTION OF CONCRETE PAVEMENT (120' X7') INCLUDING CENTRAL DRAIN FROM RAB NAWAZ HOUSE TO SULTAN HOUSE</t>
  </si>
  <si>
    <t>CONSTRUCTION OF CONCRETE PAVEMENT (190' X6') INCLUDING CENTRAL DRAIN FROM MASOOD TO TARIQ HOUSE</t>
  </si>
  <si>
    <t>CONSTRUCTION OF CONCRETE PAVEMENT (190' X4.5') INCLUDING CENTRAL DRAIN FROM MOHAMMAD RAFIQUE TO GHULAM ABBAS HOUSE</t>
  </si>
  <si>
    <t>CONSTRUCTION OF CONCRETE PAVEMENT (160' X6') INCLUDING CENTRAL DRAIN FROM WALAYUT KHAN TO ALLAH DITTA HOUSE</t>
  </si>
  <si>
    <t>CONSTRUCTION OF CONCRETE PAVEMENT (150' X6') INCLUDING CENTRAL DRAIN FROM MULAZIM HUSSAIN TO NOOR DEEN HOUSE</t>
  </si>
  <si>
    <t>CONSTRUCTION OF CONCRETE PAVEMENT (125' X5.75') INCLUDING CENTRAL DRAIN FROM ARIF TO HAMEED HOUSE</t>
  </si>
  <si>
    <t>CONSTRUCTION OF CONCRETE PAVEMENT (280' X8.5') INCLUDING CENTRAL DRAIN FROM NAEEM TO ANWER HOUSE</t>
  </si>
  <si>
    <t>CONSTRUCTION OF CONCRETE PAVEMENT (900' X12') INCLUDING CENTRAL DRAIN FROM HAJI FAZAL TO RANA MASOOD HOUSE</t>
  </si>
  <si>
    <t xml:space="preserve">CONSTRUCTION OF BOUNDARY WALL 500 RFT &amp; 6' HEIGHT ALONG WITH RETAINING WALL 160' AROUND JANAZAH GAH NEAR POND </t>
  </si>
  <si>
    <t>CONSTRUCTION OF CONCRETE PAVEMENT (660' X12' AVG) ALONG WITH CENTRAL DRAIN FROM IRSHAD TO RASHEED HOUSE</t>
  </si>
  <si>
    <t xml:space="preserve">REPAIRING CONCRETE PAVEMENT (330' X10') FROM JANAZAH GAH TO DARBAAR </t>
  </si>
  <si>
    <t>CONSTRUCTION OF CONCRETE PAVEMENT (430' X8') INCLUDING CENTRAL DRAIN FROM OLD WATER WELL TO GOVT BOYS PRIMARY SCHOOL</t>
  </si>
  <si>
    <t>CONSTRUCTION OF CONCRETE PAVEMENT (180' X12') INCLUDING CENTRAL DRAIN FROM SHEERAZ HOUSE TO APPROACHED ROAD</t>
  </si>
  <si>
    <t>CONSTRUCTION OF CONCRETE PAVEMENT (60' X8') INCLUDING CENTRAL DRAIN FROM ASIF MEHMOOD TO APPROACHED ROAD</t>
  </si>
  <si>
    <t>CONSTRUCTION OF CONCRETE PAVEMENT (220' X11' &amp; 50'x5') INCLUDING CENTRAL DRAIN SOBEDAAR ZAFAR TO APPRAOCHED ROAD</t>
  </si>
  <si>
    <t>CONSTRUCTION OF CONCRETE PAVEMENT (80' X9') INCLUDING CENTRAL DRAIN FROM YOUSAF HOUSE TO APPROACHED ROAD</t>
  </si>
  <si>
    <t>CONSTRUCTION OF CONCRETE PAVEMENT (300' X10') INCLUDING CENTRAL DRAIN FROM GHULAM TASVEER TO MALIK AKHTAR HOUSE NEAR ROAD</t>
  </si>
  <si>
    <t xml:space="preserve">CONSTRUCTION OF CONCRETE PAVEMENT (370' X12') FROM GOVT GIRLS PRIMARY SCHOOL TO MAIN STREET (JOINING MAIN ROAD) </t>
  </si>
  <si>
    <t>CONSTRUCTION OF CONCRETE PAVEMENT (110' X12') INCLUDING REPAIRING OF EXISTING PAVEMENT (400'x12') FROM MOHAMMAD ANWER TO ABDUAL QAYYUM HOUSE</t>
  </si>
  <si>
    <t>CONSTRUCTION OF CONCRETE PAVEMENT (240' X7') FROM MANAN TO MEHBOOB HOUSE</t>
  </si>
  <si>
    <t>CONSTRUCTION OF CONCRETE PAVEMENT (210' X10') FROM JAFER TO IBRAHIM HOUSE</t>
  </si>
  <si>
    <t>CONSTRUCTION OF CONCRETE PAVEMENT (400' X10') FROM GAZANFER HOUSE TO LINK ROAD</t>
  </si>
  <si>
    <t>CONSTRUCTION OF CONCRETE PAVEMENT (425' X9.5') INCLUDING CENTRAL DRAIN FROM SAMANDER TO SIKANDER HOUSE</t>
  </si>
  <si>
    <t>CONSTRUCTION OF CONCRETE PAVEMENT (250' X7') INCLUDING CENTRAL DRAIN FROM TANVEER TO SHAFIQUE HOUSE</t>
  </si>
  <si>
    <t>CONSTRUCTION OF CONCRETE PAVEMENT (360' X10') INCLUDING CENTRAL DRAIN FROM AMANAT ALI TO ALLAH DITTA HOUSE</t>
  </si>
  <si>
    <t>CONSTRUCTION OF CONCRETE PAVEMENT (290' X7.5') INCLUDING CENTRAL DRAIN FROM MALIK ABDUAL WAHEED TO MASTER MEER KHAN</t>
  </si>
  <si>
    <t>CONSTRUCTION OF DRAIN 150' INCLUDING REPAIRING OF EXISTING DRAIN 300'ABDUL MAJEED TO SULTAN KHAN HOUSE</t>
  </si>
  <si>
    <t>CONSTRUCTION OF CONCRETE PAVEMENT LENGTH = 850' WITH DIFFERENT WIDTH (126'x10', 180'x7', 230'x14', 87'x7.5', 100'x7', 120'x19')INCLUDING LINKS STREETS WITH SIDE &amp; CENTRAL DRAIN FROM GAZANFER HOUSE TO TARIQ MAHMOOD HOUSE</t>
  </si>
  <si>
    <t>CONSTRUCTION OF CONCRETE PAVEMENT LENGTH = 1230' WITH DIFFERENT WIDTH  (300'x16', 150'x15', 131'x8', 110'x10', 241'x17', 100'x10', 190'x9.5') INCLUDING LINKS STREETS WITH SIDE &amp; CENTRAL DRAIN FROM MOHABBUT KHAN TO ZAMRUD KHAN HOUSE</t>
  </si>
  <si>
    <t>CONSTRUCTION OF CONCRETE PAVEMENT (700' X7.5') INCLUDING CENTRAL DRAIN FROM SARFRAZ TO SAFDAR 380 RFT &amp; NISAR TO AKHTAR HOUSE 320 RFT</t>
  </si>
  <si>
    <t>CONSTRUCTION OF CONCRETE PAVEMENT (85' X7') INCLUDING CENTRAL DRAIN FROM MOHAMMAD JAHANGIR TO SABIR HUSSAIN HOUSE</t>
  </si>
  <si>
    <t>CONSTRUCTION OF CONCRETE PAVEMENT (560' X7') INCLUDING CENTRAL DRAIN FROM MALIK ABDUAL WAHEED TO MASTER MEER KHAN</t>
  </si>
  <si>
    <t>CONSTRUCTION OF CONCRETE PAVEMENT (365' X6') INCLUDING CENTRAL DRAIN FROM MOHAMMAD ASHRAF TO NOOR ZAMAN HOUSE</t>
  </si>
  <si>
    <t>Pariwali D &amp; P Lease</t>
  </si>
  <si>
    <t>Exploration License was granted on November 21st, 1993. Pariwali D&amp;P Lease was granted on July 1st, 1997. (Continuing)</t>
  </si>
  <si>
    <t xml:space="preserve">All Schemes are Endored by
Ch. Perviaz Ellahi
</t>
  </si>
  <si>
    <t>(Ahmadal Concession)</t>
  </si>
  <si>
    <t xml:space="preserve"> GOVT GIRLS SCHOOL MIKYAL  </t>
  </si>
  <si>
    <t xml:space="preserve"> BOYS SCHOOL MIKYAL  </t>
  </si>
  <si>
    <t xml:space="preserve"> BOYS SCHOOL SIPYAL &amp; MIKYAL  </t>
  </si>
  <si>
    <t xml:space="preserve"> GOVT BOYS MIDDLE SCHOOL MAGHIAN  </t>
  </si>
  <si>
    <t xml:space="preserve"> GIRLS PRIMARY SCHOOL SIPYAL  </t>
  </si>
  <si>
    <t xml:space="preserve"> BOYS HIGH SCHOOL KHAUR </t>
  </si>
  <si>
    <t xml:space="preserve"> GIRLS PRIMARY SCHOOL SIPYAL </t>
  </si>
  <si>
    <t xml:space="preserve"> GIRLS PRIMARY SCHOOL DHOKE SHAKRA </t>
  </si>
  <si>
    <t xml:space="preserve"> CONST OF LINK ROAD FOR VILLEGE SIPYAL </t>
  </si>
  <si>
    <t xml:space="preserve"> CONST OF LINK ROAD FOR VILLEGE MIKYAL </t>
  </si>
  <si>
    <t xml:space="preserve"> PAVING ON CULVERT ROAD DHOKE SHAKRA </t>
  </si>
  <si>
    <t xml:space="preserve"> PRIMARY GIRLS SCHOOL, PINDI-  </t>
  </si>
  <si>
    <t xml:space="preserve"> WATER SUPPLY SCHEME AT MIKYAL </t>
  </si>
  <si>
    <t xml:space="preserve">KHAUR LINK ROAD 
</t>
  </si>
  <si>
    <t>PRIMARY GIRLS SCHOOL, PIND</t>
  </si>
  <si>
    <t>KHAUR LINK ROAD</t>
  </si>
  <si>
    <t xml:space="preserve"> BOYS HIGH SCHOOL MIKYAL </t>
  </si>
  <si>
    <t xml:space="preserve"> INTERMEDIATE COLLEGE, KHAUR </t>
  </si>
  <si>
    <t xml:space="preserve"> WATER SUPPLY SCHEME AT VILLAGE SIPYAL </t>
  </si>
  <si>
    <t xml:space="preserve"> GOVT GIRLS PRIMARY SCHOOL, VILLAGE SIPYAL </t>
  </si>
  <si>
    <t xml:space="preserve"> GOVT GIRLS PRIMARY SCHOOL, VILLAGE PIND </t>
  </si>
  <si>
    <t xml:space="preserve"> GOVT BOYS PRIMARY SCHOOL DHOK SHAKRA </t>
  </si>
  <si>
    <t xml:space="preserve"> ELECTRIFICATION OF NEW 'ABADI', DHOK SHAKRA </t>
  </si>
  <si>
    <t xml:space="preserve"> BRICK PAVEMENT OF MOSQUE STREET, VILLAGE SIPYAL </t>
  </si>
  <si>
    <t xml:space="preserve"> ELECTRIFICATION OF NEW ABADI, VILLAGE PIND </t>
  </si>
  <si>
    <t xml:space="preserve"> GOVT GIRLS PRIMARY SCHOOL, RATRIAN </t>
  </si>
  <si>
    <t xml:space="preserve">WATER SUPPLY SCHEME AT MIKYAL </t>
  </si>
  <si>
    <t xml:space="preserve"> CONSTR. OF BOUNDARY WALL OF GOVT HIGH SCHOOL AT VILLAGE PIND </t>
  </si>
  <si>
    <t xml:space="preserve"> CONSTR. OF ROAD SIDE DRAIN APPROX 1100 FT AT VILLAGE PIND </t>
  </si>
  <si>
    <t xml:space="preserve"> CONCRETE PAVEMENT OF STREET 220' AT VILLAGE PIND </t>
  </si>
  <si>
    <t xml:space="preserve"> UP-GRADATION OF WATER SUPPLY SCHEME1960 FT2-1/2 INCH DIA GI PIPE AT PIND VILLAGE </t>
  </si>
  <si>
    <t xml:space="preserve"> REPAIRING OF WATER SUPPLY MOTOR AT VILLAGE PIND </t>
  </si>
  <si>
    <t xml:space="preserve"> CONCRETE PAVEMENT OF STREET 150 X 9 = 1350 SFT IN SIPYAL VILLAGE </t>
  </si>
  <si>
    <t xml:space="preserve"> CONCRETE PAVEMENT OF STREET 300 X 10 = 3000 SFT IN SIPYAL VILLAGE </t>
  </si>
  <si>
    <t xml:space="preserve"> CONCRETE PAVEMENT OF STREET 160 X 9 = 1440 SFT IN SIPYAL VILLAGE </t>
  </si>
  <si>
    <t xml:space="preserve"> CONCRETE PAVEMENT OF STREET 225 X 4 = 900 SFT JAMIA MOSQUE IN SIPYAL VILLAGE </t>
  </si>
  <si>
    <t xml:space="preserve"> WATER SUPPLY PUMP MOTOR AND TRANSFORMER AT SIPYAL VILLAGE </t>
  </si>
  <si>
    <t xml:space="preserve"> CONSTR. OF ONE CLASSROOM AND VERANDHA GIRLS PRIMARY SCHOOL DHOK SHAKRA </t>
  </si>
  <si>
    <t xml:space="preserve"> 15 DESKS/ BENCH 1TABLE CHAIRS TEACHER SET GIRLS PRIMARY SCHOOL DHOK SHAKRA </t>
  </si>
  <si>
    <t xml:space="preserve"> CONCRETE PAVEMENT OF STREET 1300 X 10 SFT DHOK SHAKRA </t>
  </si>
  <si>
    <t xml:space="preserve"> CONSTRUCTION OF 3 CLASS ROOMS &amp; WALL G.B.P.S FEROZWALI </t>
  </si>
  <si>
    <t xml:space="preserve"> FURNITURE OF G.B.P.S FEROZWALI </t>
  </si>
  <si>
    <t xml:space="preserve"> PROVISION OF ELECTRICITY 25 KV TRANSFORMER WITH POLES AT FEROZWALI VILLAGE </t>
  </si>
  <si>
    <t xml:space="preserve"> PROVISION OF ELECTRICITY 25 KV TRANSFORMER WITH POLES AT DOST MOHAMMAD SIPYAL </t>
  </si>
  <si>
    <t xml:space="preserve"> CONSTR. OF ROAD 270 X 12 SFT GIRLS PRIMARY SCHOOL DHOK SHAKRA </t>
  </si>
  <si>
    <t xml:space="preserve"> CONSTRUCTION OF WALL SIDE AND SHIFTING OF CLASSROOMS AT G.B.H.S VILLAGE PIND </t>
  </si>
  <si>
    <t xml:space="preserve"> CONS CONCRETE PAVEMENT STREET(L 285 FT X W16 FT) WITH SIDE DRAIN &amp; L 1000 FT X W16FT AT PIND VILLAGE </t>
  </si>
  <si>
    <t xml:space="preserve"> CONSTRUCTION OF CONCRETE PAVEMENT OF STREET (800RFT X10'') AT PIND VILLAGE </t>
  </si>
  <si>
    <t xml:space="preserve"> CONSTRUCTION OF  CONCRETE PAVEMENT OF STREET(700RFT X 10'')  ONE SIDE DRAIN AT PIND VILLAGE </t>
  </si>
  <si>
    <t xml:space="preserve"> CONSTRUCTION OF CONCRETE PAVEMENT OF STREET (370RFT X 10'') WITH BOTH SIDE DRAIN AT PIND VILLAGE </t>
  </si>
  <si>
    <t xml:space="preserve"> CONSTRUCTION OF CONCRETE PAVEMENT OF STREET (L 210 RFTX 10FT W) AT PIND VILLAGE </t>
  </si>
  <si>
    <t xml:space="preserve"> REPAIRING &amp; TST/DST OF ROAD (5750 SFT) AT PIND VILLAGE </t>
  </si>
  <si>
    <t xml:space="preserve"> CONSTRUCTION OF 750 RFT BOTH SIDE DRAIN (9''X9'') AT PIND VILLAGE </t>
  </si>
  <si>
    <t xml:space="preserve"> SCHOOL FURNITURE 20 STUDENT DESK BENCHES, 2 TEACHERS TABLE CHAIR AT G.B.H.S PIND VILLAGE </t>
  </si>
  <si>
    <t xml:space="preserve"> PROVISION OF MAIN WATER SUPPLY  PVC PIPE LINE 2-1/2 INCH (1200 RFT) &amp; FITTING AT PIND VILLAGE </t>
  </si>
  <si>
    <t xml:space="preserve"> REPAIRING &amp; DST OF LINK ROAD (121120 SFT) AT PIND VILLAGE </t>
  </si>
  <si>
    <t xml:space="preserve"> CONSTRUCTION OF SIDE DRAIN (370RFT)&amp; REPAIRING OF CONCRETE PAVEMENT OF STREET (50RFT X16''), DHOK SHAKRA </t>
  </si>
  <si>
    <t xml:space="preserve"> CONSTRUCTION OF BOUNDARY WALL (LENGTH 416FT ) WITH DOOR &amp; 2 TOILETS, G.B.P.S RATRIAN </t>
  </si>
  <si>
    <t xml:space="preserve"> CONSTRUCTION  CONCRETE PAVEMENT OF STREET (400RFT X8'') WITH CENTER DRAIN, VILLAGE SIPYAL </t>
  </si>
  <si>
    <t xml:space="preserve"> CONSTRUCTION  OF CONCRETE PAVEMENT OF STREET (396RFT X9'') WITH CENTER DRAIN, VILLAGE SIPYAL </t>
  </si>
  <si>
    <t xml:space="preserve"> CONSTRUCTION OF CONCRETE PAVEMENT OF STREET (230RFT X9'') WITH CENTER DRAIN, VILLAGE SIPYAL </t>
  </si>
  <si>
    <t xml:space="preserve"> CONSTRUCTION OF CONCRETE PAVEMENT OF STREET (346RFT X10''), VILLAGE SIPYAL </t>
  </si>
  <si>
    <t xml:space="preserve"> CONSTRUCTION OF CONCRETE PAVEMENT OF STREET (235RFT X10''),(200RFT X7'') WITH CENTRE DRAIN VILLAGE SIPYAL </t>
  </si>
  <si>
    <t xml:space="preserve"> CONSTRUCTION OF CONCRETE PAVEMENT OF STREET (650RFT X6'') WITH CENTER DRAIN VILLAGE SIPYAL </t>
  </si>
  <si>
    <t xml:space="preserve"> CONSTRUCTION OF CONCRETE PAVEMENT OF STREET (310RFT X9'') WITH CENTER DRAIN VILLAGE SIPYAL </t>
  </si>
  <si>
    <t xml:space="preserve"> CONS CONCRETE PAVEMENT OF STREET (141RFT X9'') AND SIDE DRAIN VILLAGE MIKYAL </t>
  </si>
  <si>
    <t xml:space="preserve"> REPAIRING &amp; DST/TST OF ROAD  (4 KM ,10" WIDE) VILLAGE MIKYAL </t>
  </si>
  <si>
    <t xml:space="preserve"> CONSTRUCTION OF TWO (2) CLASS ROOMS (18' X14') WITH VERANDAH 8' VILLAGE AHMADAL </t>
  </si>
  <si>
    <t xml:space="preserve"> SCHOOL FURNITURE 30 STUDENT DESK BENCHES, 12 TEACHERS TABLE &amp; CHAIR AND 2 SCICENCE LABORATORY TABLES (8'X4') VILLAGE AHMADAL </t>
  </si>
  <si>
    <t xml:space="preserve"> CONSTRUCTION OF TWO (2) CLASS ROOMS (18' X14') VERANDAH 8' WIDE FURNITURE 50 WOODEN ARM TABLET CHAIRS G.B.H.S KHAUR </t>
  </si>
  <si>
    <t>2011</t>
  </si>
  <si>
    <t xml:space="preserve"> CONSTRUCTION OF CONCRETE PAVEMENT OF STREET (350' X 12') AT VILLAGE PIND </t>
  </si>
  <si>
    <t xml:space="preserve"> CONSTRUCTION OF CONCRETE PAVEMENT OF STREET (400'X 12') AT VILLAGE PIND </t>
  </si>
  <si>
    <t xml:space="preserve"> CONSTRUCTION OF CONCRETE PAVEMENT OF STREET (270 RFT ) ONE SIDE DRAIN AT VILLAGE PIND </t>
  </si>
  <si>
    <t xml:space="preserve"> CONSTRUCTION OF CONCRETE PAVEMENT OF STREET (280 RFT ) ONE SIDE DRAIN AT VILLAGE PIND </t>
  </si>
  <si>
    <t xml:space="preserve"> CONSTRUCTION OF CONCRETE PAVEMENT OF STREET (600 RFT ) BOTH SIDE DRAIN AT VILLAGE PIND </t>
  </si>
  <si>
    <t xml:space="preserve"> CONSTRUCTION OF CONCRETE PAVEMENT OF STREET (810 RFT ) BOTH SIDE DRAIN AT VILLAGE PIND </t>
  </si>
  <si>
    <t xml:space="preserve"> REPAIRING OF WATER SUPPLY MOTOR FOR PIND VILLAGE. </t>
  </si>
  <si>
    <t xml:space="preserve"> CONSTRUCTION OF RETAINING WALL AT DHOKE SHAKRA VILLAGE </t>
  </si>
  <si>
    <t xml:space="preserve"> CONSTRUCTION OF CONCRETE PAVEMENT OF STREET (400'X9') SIDE DRAIN AT VILLAGE SIPYAL </t>
  </si>
  <si>
    <t xml:space="preserve"> CONSTRUCTION OF CONCRETE PAVEMENT OF STREET (300'X9.5') SIDE DRAIN AT VILLAGE MIKYAL </t>
  </si>
  <si>
    <t xml:space="preserve"> CONSTRUCTION OF CONCRETE PAVEMENT OF STREET (252'X16') ONE SIDE DRAIN AT VILLAGE FEROZWALI </t>
  </si>
  <si>
    <t xml:space="preserve"> CONSTRUCTION OF UNDERGROUND WATER STORAGE TANK (60'X30'X10')</t>
  </si>
  <si>
    <t>CONSTRUCTION OF CAUSEWAY (120' X 12')</t>
  </si>
  <si>
    <t>UP-GRADATION/ REPAIRING /KHAUR TO SIPYAL (PHASE - I) 1.5 KM</t>
  </si>
  <si>
    <t>REPARING/TST OF LINK ROAD KHAUR TO SIPYAL (1KM) PHASE II. LAST YEAR IST PHASE WAS COMPLETED.</t>
  </si>
  <si>
    <t>CONSTRUCTION OF CONCERTE PAVEMENT OF STREET (700'X10') AT DHOKE SKAKRA VILLAGE.</t>
  </si>
  <si>
    <t>BANK PROFIT</t>
  </si>
  <si>
    <t xml:space="preserve">ELECTRIFICATION OF WATER SUPPLY SCHEME SIPYAL. TRANSFORMER 50KVA
</t>
  </si>
  <si>
    <t>To whom Scheme</t>
  </si>
  <si>
    <t xml:space="preserve">handed over </t>
  </si>
  <si>
    <t>after</t>
  </si>
  <si>
    <t>completion</t>
  </si>
  <si>
    <t>Minwal D &amp; P Lease</t>
  </si>
  <si>
    <t>Exploration License was granted on November 21st, 1993. Minwal D&amp;P Lease was granted on April 1st, 1998. (Continuing)</t>
  </si>
  <si>
    <t>All Schemes are Endored by
Mr. Ayaz Amir
PML (N)</t>
  </si>
  <si>
    <t>Obtained NOC from DCO - Chakwal for execute the schemes</t>
  </si>
  <si>
    <t>(Minwal Concession)</t>
  </si>
  <si>
    <t>Chakwal, Punjab</t>
  </si>
  <si>
    <t xml:space="preserve">GOVT MIDDLE SCHOOL FOR BOYS KHODE  </t>
  </si>
  <si>
    <t xml:space="preserve"> GOVT HIGH SCHOOL FOR BOYS DHAB KALAN  </t>
  </si>
  <si>
    <t xml:space="preserve"> GOVT PRIMARY SCHOOL FOR GIRLS KHODE  </t>
  </si>
  <si>
    <t xml:space="preserve"> CONST OF ROAD FROM MAIN ROAD TO JOYAMIR </t>
  </si>
  <si>
    <t>GOVT MIDDLE SCHOOL FOR BOYS TEHSIL FATUHIU</t>
  </si>
  <si>
    <t xml:space="preserve">GIRLS MIDDLE SCHOOL KHODE </t>
  </si>
  <si>
    <t xml:space="preserve"> BOYS MIDDLE SCHOOL KHODE </t>
  </si>
  <si>
    <t xml:space="preserve"> BOYS HIGH SCHOOL MINWAL  </t>
  </si>
  <si>
    <t xml:space="preserve"> ELECTRICITY VILLAGE CHAK GOHHAR CHAKWAL </t>
  </si>
  <si>
    <t xml:space="preserve"> CONST OF LINK ROAD DHAB KALAN </t>
  </si>
  <si>
    <t xml:space="preserve"> GIRLS MIDDLE SCHOOL KHODE </t>
  </si>
  <si>
    <t xml:space="preserve"> GOVT BOYS PRIMARY SCHOOL AT JOYA MAIR  </t>
  </si>
  <si>
    <t xml:space="preserve"> CHAK GHAKAR LINK ROAD </t>
  </si>
  <si>
    <t xml:space="preserve"> GOVT BOYS PRIMARY SCHOOL AT BALO KASSAR  </t>
  </si>
  <si>
    <t xml:space="preserve"> GOVT GIRLS PRIMARY SCHOOL AT BALO KASSAR  </t>
  </si>
  <si>
    <t xml:space="preserve">GOVT BOYS PRIMARY SCHOOL AT JOYA MAIR  </t>
  </si>
  <si>
    <t xml:space="preserve"> GOVT GIRLS PRIMARY SCHOOL AT JOYA MAIR  </t>
  </si>
  <si>
    <t xml:space="preserve"> LAB EQUIPMENT -GOVT BOYS HIGH SCH. MINWAL </t>
  </si>
  <si>
    <t xml:space="preserve"> CONST. OF LINK ROAD-VILLAGE DHAKU TO JOYAMAIR 1.5KM </t>
  </si>
  <si>
    <t xml:space="preserve"> CONST. OF LINK ROAD-VILLAGE DHAKU TO JOYAMAIR 1.25KM </t>
  </si>
  <si>
    <t xml:space="preserve">REPAIRING /TST OF CHAKWAL MANDRA ROAD (3.6 KM X 10'' WIDTH) </t>
  </si>
  <si>
    <t>Obtained NOC from DCO - Chakwal for execute the schemes.</t>
  </si>
  <si>
    <t xml:space="preserve"> CONSTRUCTION OF  ROAD 3RD &amp; FINAL PHASE1.25 KM APPROX FROM JOYAMIR TO DHAKKU VILLAGE </t>
  </si>
  <si>
    <t xml:space="preserve">CONSTRUCTION OF CONCRETE PAVEMENT OF STREET (515' X10) (FROM MUHAMMAD LATIF HOUSE TO MUHAMMAD YONUS HOUSE)         </t>
  </si>
  <si>
    <t>PART (A): REMOVING &amp; REFIXING OF BRICK SOLING (150' X 10') OF STREET NEAR CH. MUZAFER KHAN HOUSE</t>
  </si>
  <si>
    <t>PART (B): CONSTRUCTION OF CONCRETE PAVEMENT (280'X12' AVG) OF STREET NEAR CH. MUZAFER KHAN HOUSE</t>
  </si>
  <si>
    <t>PART (C): CONSTRUCTION OF CONCRETE PAVEMENT 100'X16') &amp; CONSTRUCTION OF  RETAINING WALL  (STONE MANSONARY) 100 RFT AND REPAIRING OF RETAINING WALL (BRICK WORK) NEAR CH. MUZAFER KHAN HOUSE AT MINWAL VILLAGE.</t>
  </si>
  <si>
    <t>CONSTRUCTION OF RCC PAD (51' X 16') ON EXISTING PILLARS OF A PULLEY AT END OF PHASE -3 OF DHAKKU JOYMAIR ROAD.</t>
  </si>
  <si>
    <t>PROVISION OF TWO (2) ELECTRIC WATER COOLER, ONE (1) FOR GOVT. BOYS HIGH SCHOOL MINWAL AND ONE (1) FOR GOVT. GIRLS HIGH SCHOOL</t>
  </si>
  <si>
    <t>REPAIRING OF TST ROAD (1500 RFT) DHAAB LOHARAN TOWARD JOYAMAIR VILLAGE.</t>
  </si>
  <si>
    <t>NURSERY STUDENT 6 PLASTIC TABLE, 5 TEACHER TABLE AND 5 CHAIRS FOR GOVT. GIRLS HIGH SCHOOL.</t>
  </si>
  <si>
    <t>CONSTRUCTION OF BOUNDARY WALL AT GOVT. GIRLS HIGH SCHOOL.</t>
  </si>
  <si>
    <t>SUPPLY OF CARPET (28'X18') FOR COMPUTER LABORATORY ALONG WITH VACUUM CLEANER AT GOVT. BOYS HIGH SCHOOL.</t>
  </si>
  <si>
    <t>60 STUDENT DESK BENCHES, 5 X TEACHER TABLES AND 5 X CHAIRS FOR GOVT. BOYS HIGH SCHOOL.</t>
  </si>
  <si>
    <t>CONSTRUCTION OF DRAIN 240 RFT (2'X2') NEAR GOVT. HIGH SCHOOL.</t>
  </si>
  <si>
    <t>Turkwal D &amp; P Lease</t>
  </si>
  <si>
    <t>Exploration License was granted on December 5th, 1995. Turkwal D&amp;P Lease was granted on August 26th, 1999. (Continuing)</t>
  </si>
  <si>
    <t>Obtained NOC from DCO - Rawalpindi for execute the schemes.</t>
  </si>
  <si>
    <t>(Central Potwar Concession)</t>
  </si>
  <si>
    <t xml:space="preserve">CONST OF LINK ROAD TURKWAL VILLAGE </t>
  </si>
  <si>
    <t xml:space="preserve"> GIRLS PRIMARY SCHOOL TURKWAL  </t>
  </si>
  <si>
    <t xml:space="preserve"> BOYS PRIMARY SCHOOL TURKWAL  </t>
  </si>
  <si>
    <t xml:space="preserve"> CONST OF LINK ROAD TURKWAL VILLAGE </t>
  </si>
  <si>
    <t xml:space="preserve"> NATHIAN LINK ROAD </t>
  </si>
  <si>
    <t xml:space="preserve"> GOVERNMENT GIRLS PRIMARY SCHOOL AT TURKWAL </t>
  </si>
  <si>
    <t xml:space="preserve"> CULVERT ON MAIN ROAD FROM TURKWAL TO DHOKE DABRI </t>
  </si>
  <si>
    <t xml:space="preserve"> MAIN ROAD (SIDE DRAINS) FOR TURKWAL </t>
  </si>
  <si>
    <t>GOVERNMENT GIRLS PRIMARY SCHOOL AT BHAWLAY KALAN</t>
  </si>
  <si>
    <t xml:space="preserve"> CONCRETE PAVEMENT STREET ONE SIDE DRAIN 200RFTX13 TURKWAL </t>
  </si>
  <si>
    <t xml:space="preserve"> CONCRETE PAVEMENT STREET 290X12 RETAINING WALL NATHIAN VILLAGE </t>
  </si>
  <si>
    <t xml:space="preserve">CONSTRUCTION OF CONCRETE PAVEMENT (1000 RFT 10'WIDE) TURKWAL                                          </t>
  </si>
  <si>
    <t xml:space="preserve"> CONSTRUCTION OF (06 NOS) PIPE CULVERTS IN STREETS AT CROSSING POINTS.  </t>
  </si>
  <si>
    <t xml:space="preserve"> CONSTRUCTION OF TWO (2) CLASS ROOMS  (18'X14') WITH VERANDAH 8' WIDE, G.G.E.S, TURKWAL </t>
  </si>
  <si>
    <t xml:space="preserve"> SCHOOL FURNITURE 45 STUDENT DESK BENCHES, 3 TEACHERS TABLE &amp; CHAIR G.G.E.S, TURKWAL </t>
  </si>
  <si>
    <t xml:space="preserve"> CONSTRUCTION OF CONCRETE PAVEMENT (250RFT X 10') OF STREET, NATHIAN VILLAGE </t>
  </si>
  <si>
    <t xml:space="preserve"> CONSTRUCTION OF CONCRETE PAVEMENT (1120 RFT 10'WIDE) TURKWAL                                         </t>
  </si>
  <si>
    <t xml:space="preserve"> CONSTRUCTION OF CONCRETE PAVEMENT (680*12) STARTING FROM EID SHAH GATE-CH. MUNSIF HOUSE </t>
  </si>
  <si>
    <t xml:space="preserve"> CONSTRUCTION OF 120' LENGTH X 7' HEIGHT RETAINING WALL NEAR SLAB CULVERT TO PREVENT LINK ROAD OF TURKWAL VILLAGE FORM EROSION. </t>
  </si>
  <si>
    <t>CONSTRUCTION OF ROAD 2.25 KM (7383 RFT) FROM TURKWAL VILLAGE TO DHOKE MEHDI</t>
  </si>
  <si>
    <t>REPAIRING / TST OF ROAD (0.5KM) 1650RFT FROM TURKWAL PLANT CHOCK TOWARDS LOCALITY</t>
  </si>
  <si>
    <t>CONSTRUCTION OF 120' LENGTH X 7' HEIGHT RETAINING WALL NEAR SLAB CULVERT TO PREVENT LINK ROAD OF TURKWAL VILLAGE FORM EROSION</t>
  </si>
  <si>
    <t>Lesbela</t>
  </si>
  <si>
    <t>Kirthar EL.</t>
  </si>
  <si>
    <t xml:space="preserve">15-June-2006 </t>
  </si>
  <si>
    <t>2567-7</t>
  </si>
  <si>
    <t>Dadus, Thatta &amp; Lasbela</t>
  </si>
  <si>
    <t>Sindh/Balochistan</t>
  </si>
  <si>
    <t>Amoun spent through deposited US$</t>
  </si>
  <si>
    <t>CONS ONE CLASS ROOM (20*16) GOVT, BOYS ELEMENTARY</t>
  </si>
  <si>
    <t>CONSTRUCTION OF CONCERTE PAVEMENT OF STREET (250'X12')  FROM GOVERNMENT GIRLS ENGLISH MEDIUM SCHOOL TILL WATER POND AT SIPYAL VILLAGE.</t>
  </si>
  <si>
    <t>ELECTRIC MOTOR 30 HP ALONGWITH SWITCH BOARD FOR WATER SUPPLY SCHEME MIKYAL VILLAGE.</t>
  </si>
  <si>
    <t>ELECTRIC WATER COOLER 60 GLN, PLASTIC OVER HEAD TANK (400 GLN)  FOR GOVT. GIRLS ELEMENTARY SCHOOL AT MIKYAL VILLAGE.</t>
  </si>
  <si>
    <t>SCHOOL FURNITURE FOR GOVT. GIRLS ENGLISH MEDIUM SCHOOL AT SIPYAL VILLAGE.
TEACHER TABLES &amp; CHAIRS (2 EACH), PLASTIC OVER HEAD TANK (300 GLN)</t>
  </si>
  <si>
    <t>SCHOOL FURNITURE FOR GOVT. GIRLS ELEMENTARY SCHOOL AT MIKYAL VILLAGE:
TEACHER TABLES &amp; CHAIRS (8 EACH),  STEEL ALMERAH (2 NOS), STUDENT DESK &amp; BENCHES (45 EACH)</t>
  </si>
  <si>
    <t>2017</t>
  </si>
  <si>
    <t xml:space="preserve">SCHOOL FURNITURE AT GOVT BOYS ELEMENTARY SCHOOL. </t>
  </si>
  <si>
    <t xml:space="preserve">SCHOOL FURNITURE AT GOVT GIRLS HIGH SCHOOL. </t>
  </si>
  <si>
    <t>Construction of  Two Class Room(20*16) Verandah Govt, Boys Primary school at</t>
  </si>
  <si>
    <t>Construction of  Water Pond (80*80) at</t>
  </si>
  <si>
    <t xml:space="preserve">A) Boring of Water Supply B) Cons of Water Tank at </t>
  </si>
  <si>
    <t>Construction of One Class Room (20*16) With Verandah 8' Wide at</t>
  </si>
  <si>
    <t>29-09-2016</t>
  </si>
  <si>
    <t>SOCIAL WELFARE OBLIGATIONS OF POL</t>
  </si>
  <si>
    <t>2018</t>
  </si>
  <si>
    <t>Amount spent through deposited US$</t>
  </si>
  <si>
    <t>A</t>
  </si>
  <si>
    <t>B</t>
  </si>
  <si>
    <t>C</t>
  </si>
  <si>
    <t>D</t>
  </si>
  <si>
    <t>E=A-B-C</t>
  </si>
  <si>
    <t>Amount Deposited (US $)</t>
  </si>
  <si>
    <t>CONSTRUCTION OF CONCRETE PAVEMENT OF STREET (280'X 9') WITH BOTHSIDE DRAIN FROM MR. HAYAT MUHAMMAD HOUSE TILL MR. IFTIKHAR AHMED HOUSE AT PIND VILLAGE.</t>
  </si>
  <si>
    <t>CONSTRUCTION OF CONCRETE PAVEMENT OF STREET (260'X 9.5') WITH BOTH SIDE DRAIN FROM HAJI SULTAN MARHOOM TILL MR. ABID HUSSAIN HOUSE AT MOHALLAH KHAJURAN WALA PIND VILLAGE.</t>
  </si>
  <si>
    <t>CONSTRUCTION OF CONCRETE PAVEMENT OF STREET (660'X10') FROM GOVT. GIRLS ELEMENTARY SCHOOL PIND TILL MR. TAJ MUHAMMAD HOUSE AT PIND VILLAGE.</t>
  </si>
  <si>
    <t>CONSTRUCTION OF CONCRETE PAVEMENT OF STREET (325 X 10') WITH CULVERT FROM MAIN ROAD TOWARDS GOVT BOYS PRIMARY SCHOOL AT NATHIAN MALKA VILLAGE</t>
  </si>
  <si>
    <t>CONSTRUCTION OF CULVERT NEAR MALIK LIAQAT HOUSE AT SIPYAL VILLAGE.</t>
  </si>
  <si>
    <t>CONSTRUCTION OF CONCRETE PAVEMENT OF STREET NEAR WATER POND AT GOVT. GIRLS ENGLISH MEDIUM ELEMENTARY SCHOOL SIPYAL.</t>
  </si>
  <si>
    <t>CONSTRUCTION OF RETAINING WALL WITH STONE MASONRY (100RFT) NEAR GOVT. ENGLISH MEDIUM ELEMENTARY SCHOOL SIPYAL.</t>
  </si>
  <si>
    <t>CONSTRUTION OF CONCRETE PAVEMENT OF STREET(120' X 6.5') WITH SIDE DRAIN FROM MR. TANVEER SHOP TILL TASADDUQ HUSSAIN HOUSE AT SIPYAL VILLAGE.</t>
  </si>
  <si>
    <t>CONSTRUCTION OF CONCRETE PAVEMENT OF STREET (210' X 9') WITH SIDE DRAIN FROM MR. HAFIZ SHKEEL TILL MR. DOST MUHAMMAD HOUSE AT SIPYAL VILLAGE</t>
  </si>
  <si>
    <t>CONSTRUCTION OF CONCRETE PAVEMENT OF STREET 180 RFT NEAR SIKADAR HOUSE AT SIPYAL VILLAGE</t>
  </si>
  <si>
    <t>WATER SUPPLY MAIN PIPE LINE ( LENGTH 3165 M) FORM WATER TANK TO SHEER ALI HOUSE FOR NEW ABADI AT MIKYAL VILLAGE.(METERIAL COST  INCLUDED)</t>
  </si>
  <si>
    <t>CONSTRUCTION OF CONCRETE PAVEMENT OF STREET (500'X 11') WITH ONE SIDE DRAIN FROM JAMIA MASJID E AQSA TILL MR. MALIK SINCHEE KHAN HOUSE AT MIKYAL VILLAGE.</t>
  </si>
  <si>
    <t>CONSTRUCTION OF CONCRETE PAVEMENT OF STREET (300' X 12') WITH SIDE DRAIN FROM GOVT. BOYS PRIMARY SCHOOL  TILL HAJI AHMED KHAN HOUSE AT SIPYAL VILLAGE.</t>
  </si>
  <si>
    <t>CONSTRUCTION OF TWO (02) NO. CLASS ROOMS (20'x16') WITH VERANDAH  10' WIDE 
CONSTRUCTION OF (02NOS) BATH ROOMS (5’X4’)
SEPTIC TANK (10’X6’) &amp; SOAKAGE PIT 10’ DIA &amp; 8’ DEPTH 
CONSTRUCTION OF PRE- COST BOUNDARY WALL 450 RFT 8’ HEIGHT 
LEVELING &amp; DRESSING/ FILLING IN AREA OF SCHOOL GROUND (104’ X 90’ X 2’) FOR GOVT. PRIMARY SCHOOL DHOKE CHAWALA AT IKHLAS TEHSIL PINDIGHEB DISTRICT ATTOCK..</t>
  </si>
  <si>
    <t>D.G. Khan</t>
  </si>
  <si>
    <t>CONSTRUCTION OF ONE (01) NO. CLASS ROOM (20'x16') WITH VERANDAH  8' WIDE AT GOVT. BOYS PRIMARY SCHOOL MARBIN MOZA HAN THAL TAMAN LAGHARI RONGHAN</t>
  </si>
  <si>
    <t>PART (A). BORING FOR WATER FOR WATER SUPPLY                                                             PART (B). CONSTRUCTION OF WATER TANK (5'x4')                                                                    AT BASTI KHAN MUHAMMAD FORT MUNRO</t>
  </si>
  <si>
    <t>PART (A). BORING FOR WATER FOR WATER SUPPLY                                                                       PART (B). CONSTRUCTION OF WATER TANK (5'x4')                                                                                             AT BASTI KHUDA BUKHASH QAIMANI BOTBIN MOZA KHAR FORT MUNRO</t>
  </si>
  <si>
    <t>upto 31st December 2018</t>
  </si>
  <si>
    <t>2019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</si>
</sst>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"/>
    <numFmt numFmtId="169" formatCode="0.0"/>
    <numFmt numFmtId="170" formatCode="0.0%"/>
    <numFmt numFmtId="171" formatCode="_(* #,##0.0_);_(* \(#,##0.0\);_(* &quot;-&quot;?_);_(@_)"/>
    <numFmt numFmtId="172" formatCode="0.0000000"/>
    <numFmt numFmtId="173" formatCode="0.000000"/>
    <numFmt numFmtId="174" formatCode="0.00000"/>
    <numFmt numFmtId="175" formatCode="[$-409]h:mm:ss\ AM/PM"/>
    <numFmt numFmtId="176" formatCode="[$-409]dddd\,\ mmmm\ dd\,\ yyyy"/>
    <numFmt numFmtId="177" formatCode="[$-409]dd\-mmm\-yy;@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_);\(0.00\)"/>
    <numFmt numFmtId="189" formatCode="0.0000%"/>
    <numFmt numFmtId="190" formatCode="_(* #,##0.000000000_);_(* \(#,##0.000000000\);_(* &quot;-&quot;?????????_);_(@_)"/>
    <numFmt numFmtId="191" formatCode="_(* #,##0.0000000000_);_(* \(#,##0.0000000000\);_(* &quot;-&quot;??????????_);_(@_)"/>
    <numFmt numFmtId="192" formatCode="_(* #,##0.00000000_);_(* \(#,##0.00000000\);_(* &quot;-&quot;????????_);_(@_)"/>
    <numFmt numFmtId="193" formatCode="_(* #,##0.000000000000_);_(* \(#,##0.000000000000\);_(* &quot;-&quot;????????????_);_(@_)"/>
    <numFmt numFmtId="194" formatCode="_(* #,##0.00000000000_);_(* \(#,##0.00000000000\);_(* &quot;-&quot;???????????_);_(@_)"/>
    <numFmt numFmtId="195" formatCode="dd/mm/yyyy"/>
  </numFmts>
  <fonts count="71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sz val="18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28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20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sz val="16"/>
      <name val="Calibri"/>
      <family val="2"/>
    </font>
    <font>
      <b/>
      <sz val="15"/>
      <name val="Calibri"/>
      <family val="2"/>
    </font>
    <font>
      <sz val="1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6" fontId="11" fillId="0" borderId="27" xfId="42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166" fontId="11" fillId="0" borderId="28" xfId="42" applyNumberFormat="1" applyFont="1" applyBorder="1" applyAlignment="1">
      <alignment horizontal="center" vertical="top"/>
    </xf>
    <xf numFmtId="166" fontId="11" fillId="0" borderId="29" xfId="42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6" fontId="40" fillId="0" borderId="34" xfId="0" applyNumberFormat="1" applyFont="1" applyBorder="1" applyAlignment="1">
      <alignment horizontal="center"/>
    </xf>
    <xf numFmtId="166" fontId="40" fillId="0" borderId="34" xfId="0" applyNumberFormat="1" applyFont="1" applyBorder="1" applyAlignment="1">
      <alignment/>
    </xf>
    <xf numFmtId="166" fontId="11" fillId="0" borderId="27" xfId="42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166" fontId="11" fillId="0" borderId="28" xfId="42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66" fontId="41" fillId="0" borderId="36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42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21" xfId="0" applyFont="1" applyBorder="1" applyAlignment="1">
      <alignment/>
    </xf>
    <xf numFmtId="166" fontId="11" fillId="0" borderId="25" xfId="0" applyNumberFormat="1" applyFont="1" applyBorder="1" applyAlignment="1">
      <alignment horizontal="center"/>
    </xf>
    <xf numFmtId="166" fontId="11" fillId="0" borderId="38" xfId="0" applyNumberFormat="1" applyFont="1" applyBorder="1" applyAlignment="1">
      <alignment horizontal="center"/>
    </xf>
    <xf numFmtId="166" fontId="41" fillId="0" borderId="34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166" fontId="40" fillId="0" borderId="39" xfId="0" applyNumberFormat="1" applyFont="1" applyBorder="1" applyAlignment="1">
      <alignment/>
    </xf>
    <xf numFmtId="0" fontId="40" fillId="0" borderId="33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49" fontId="11" fillId="0" borderId="42" xfId="42" applyNumberFormat="1" applyFont="1" applyBorder="1" applyAlignment="1">
      <alignment horizontal="center"/>
    </xf>
    <xf numFmtId="166" fontId="11" fillId="0" borderId="29" xfId="42" applyNumberFormat="1" applyFont="1" applyBorder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66" fontId="8" fillId="0" borderId="43" xfId="42" applyNumberFormat="1" applyFont="1" applyFill="1" applyBorder="1" applyAlignment="1">
      <alignment vertical="center"/>
    </xf>
    <xf numFmtId="166" fontId="8" fillId="0" borderId="43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 wrapText="1"/>
    </xf>
    <xf numFmtId="2" fontId="6" fillId="0" borderId="43" xfId="0" applyNumberFormat="1" applyFont="1" applyFill="1" applyBorder="1" applyAlignment="1">
      <alignment horizontal="right" vertical="center" wrapText="1"/>
    </xf>
    <xf numFmtId="166" fontId="6" fillId="0" borderId="43" xfId="42" applyNumberFormat="1" applyFont="1" applyFill="1" applyBorder="1" applyAlignment="1">
      <alignment vertical="center"/>
    </xf>
    <xf numFmtId="166" fontId="6" fillId="0" borderId="43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vertical="top"/>
    </xf>
    <xf numFmtId="0" fontId="11" fillId="34" borderId="23" xfId="0" applyFont="1" applyFill="1" applyBorder="1" applyAlignment="1">
      <alignment horizontal="center" vertical="top"/>
    </xf>
    <xf numFmtId="0" fontId="11" fillId="34" borderId="44" xfId="0" applyFont="1" applyFill="1" applyBorder="1" applyAlignment="1">
      <alignment horizontal="center"/>
    </xf>
    <xf numFmtId="0" fontId="11" fillId="34" borderId="29" xfId="0" applyFont="1" applyFill="1" applyBorder="1" applyAlignment="1" quotePrefix="1">
      <alignment horizontal="center"/>
    </xf>
    <xf numFmtId="0" fontId="11" fillId="34" borderId="24" xfId="0" applyFont="1" applyFill="1" applyBorder="1" applyAlignment="1">
      <alignment horizontal="center" vertical="top"/>
    </xf>
    <xf numFmtId="0" fontId="11" fillId="34" borderId="25" xfId="0" applyFont="1" applyFill="1" applyBorder="1" applyAlignment="1">
      <alignment horizontal="center" vertical="top"/>
    </xf>
    <xf numFmtId="0" fontId="11" fillId="34" borderId="26" xfId="0" applyFont="1" applyFill="1" applyBorder="1" applyAlignment="1">
      <alignment horizontal="center" vertical="top"/>
    </xf>
    <xf numFmtId="0" fontId="11" fillId="34" borderId="23" xfId="0" applyFont="1" applyFill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47" xfId="0" applyFont="1" applyBorder="1" applyAlignment="1">
      <alignment horizontal="center" vertical="top"/>
    </xf>
    <xf numFmtId="49" fontId="11" fillId="0" borderId="48" xfId="44" applyNumberFormat="1" applyFont="1" applyBorder="1" applyAlignment="1">
      <alignment horizontal="center" vertical="top"/>
    </xf>
    <xf numFmtId="166" fontId="11" fillId="0" borderId="28" xfId="44" applyNumberFormat="1" applyFont="1" applyBorder="1" applyAlignment="1">
      <alignment horizontal="center" vertical="top"/>
    </xf>
    <xf numFmtId="43" fontId="11" fillId="0" borderId="28" xfId="44" applyFont="1" applyBorder="1" applyAlignment="1">
      <alignment horizontal="center" vertical="top"/>
    </xf>
    <xf numFmtId="9" fontId="11" fillId="0" borderId="28" xfId="66" applyFont="1" applyBorder="1" applyAlignment="1">
      <alignment horizontal="center" vertical="top"/>
    </xf>
    <xf numFmtId="0" fontId="11" fillId="0" borderId="1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40" fillId="0" borderId="33" xfId="0" applyFont="1" applyBorder="1" applyAlignment="1">
      <alignment horizontal="center" vertical="top"/>
    </xf>
    <xf numFmtId="166" fontId="11" fillId="0" borderId="29" xfId="44" applyNumberFormat="1" applyFont="1" applyBorder="1" applyAlignment="1">
      <alignment horizontal="center" vertical="top"/>
    </xf>
    <xf numFmtId="166" fontId="11" fillId="0" borderId="27" xfId="44" applyNumberFormat="1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17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29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29" xfId="0" applyFont="1" applyBorder="1" applyAlignment="1">
      <alignment horizontal="left" vertical="top"/>
    </xf>
    <xf numFmtId="0" fontId="11" fillId="0" borderId="43" xfId="0" applyFont="1" applyBorder="1" applyAlignment="1">
      <alignment vertical="top"/>
    </xf>
    <xf numFmtId="166" fontId="11" fillId="0" borderId="34" xfId="44" applyNumberFormat="1" applyFont="1" applyBorder="1" applyAlignment="1">
      <alignment horizontal="center" vertical="top"/>
    </xf>
    <xf numFmtId="0" fontId="11" fillId="0" borderId="34" xfId="0" applyFont="1" applyBorder="1" applyAlignment="1">
      <alignment horizontal="left" vertical="top"/>
    </xf>
    <xf numFmtId="0" fontId="11" fillId="0" borderId="43" xfId="0" applyFont="1" applyBorder="1" applyAlignment="1">
      <alignment vertical="top" wrapText="1"/>
    </xf>
    <xf numFmtId="0" fontId="11" fillId="0" borderId="43" xfId="0" applyFont="1" applyBorder="1" applyAlignment="1">
      <alignment horizontal="left" vertical="top"/>
    </xf>
    <xf numFmtId="166" fontId="11" fillId="0" borderId="29" xfId="44" applyNumberFormat="1" applyFont="1" applyBorder="1" applyAlignment="1" quotePrefix="1">
      <alignment horizontal="center" vertical="top"/>
    </xf>
    <xf numFmtId="166" fontId="11" fillId="0" borderId="49" xfId="44" applyNumberFormat="1" applyFont="1" applyBorder="1" applyAlignment="1">
      <alignment horizontal="center" vertical="top"/>
    </xf>
    <xf numFmtId="166" fontId="11" fillId="0" borderId="48" xfId="44" applyNumberFormat="1" applyFont="1" applyBorder="1" applyAlignment="1">
      <alignment horizontal="center" vertical="top"/>
    </xf>
    <xf numFmtId="166" fontId="11" fillId="0" borderId="49" xfId="44" applyNumberFormat="1" applyFont="1" applyBorder="1" applyAlignment="1" quotePrefix="1">
      <alignment horizontal="center" vertical="top"/>
    </xf>
    <xf numFmtId="0" fontId="11" fillId="0" borderId="48" xfId="0" applyFont="1" applyBorder="1" applyAlignment="1">
      <alignment horizontal="left" vertical="top"/>
    </xf>
    <xf numFmtId="0" fontId="11" fillId="0" borderId="36" xfId="0" applyFont="1" applyBorder="1" applyAlignment="1">
      <alignment horizontal="center" vertical="top"/>
    </xf>
    <xf numFmtId="0" fontId="11" fillId="0" borderId="27" xfId="0" applyFont="1" applyBorder="1" applyAlignment="1">
      <alignment horizontal="left" vertical="top"/>
    </xf>
    <xf numFmtId="166" fontId="11" fillId="0" borderId="44" xfId="44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166" fontId="11" fillId="0" borderId="44" xfId="44" applyNumberFormat="1" applyFont="1" applyBorder="1" applyAlignment="1" quotePrefix="1">
      <alignment horizontal="center" vertical="top"/>
    </xf>
    <xf numFmtId="166" fontId="11" fillId="0" borderId="34" xfId="44" applyNumberFormat="1" applyFont="1" applyBorder="1" applyAlignment="1" quotePrefix="1">
      <alignment horizontal="center" vertical="top"/>
    </xf>
    <xf numFmtId="0" fontId="11" fillId="0" borderId="16" xfId="0" applyFont="1" applyBorder="1" applyAlignment="1">
      <alignment horizontal="left" vertical="top"/>
    </xf>
    <xf numFmtId="166" fontId="41" fillId="0" borderId="36" xfId="0" applyNumberFormat="1" applyFont="1" applyBorder="1" applyAlignment="1">
      <alignment horizontal="center" vertical="top"/>
    </xf>
    <xf numFmtId="166" fontId="40" fillId="0" borderId="51" xfId="0" applyNumberFormat="1" applyFont="1" applyBorder="1" applyAlignment="1">
      <alignment horizontal="center" vertical="top"/>
    </xf>
    <xf numFmtId="166" fontId="40" fillId="0" borderId="28" xfId="0" applyNumberFormat="1" applyFont="1" applyBorder="1" applyAlignment="1">
      <alignment vertical="top"/>
    </xf>
    <xf numFmtId="166" fontId="41" fillId="0" borderId="28" xfId="0" applyNumberFormat="1" applyFont="1" applyBorder="1" applyAlignment="1">
      <alignment horizontal="center" vertical="top"/>
    </xf>
    <xf numFmtId="166" fontId="40" fillId="0" borderId="34" xfId="0" applyNumberFormat="1" applyFont="1" applyBorder="1" applyAlignment="1">
      <alignment vertical="top"/>
    </xf>
    <xf numFmtId="166" fontId="41" fillId="0" borderId="0" xfId="0" applyNumberFormat="1" applyFont="1" applyBorder="1" applyAlignment="1">
      <alignment horizontal="center" vertical="top"/>
    </xf>
    <xf numFmtId="166" fontId="40" fillId="0" borderId="0" xfId="0" applyNumberFormat="1" applyFont="1" applyBorder="1" applyAlignment="1">
      <alignment horizontal="center" vertical="top"/>
    </xf>
    <xf numFmtId="166" fontId="40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11" fillId="34" borderId="38" xfId="0" applyFont="1" applyFill="1" applyBorder="1" applyAlignment="1">
      <alignment horizontal="center"/>
    </xf>
    <xf numFmtId="0" fontId="11" fillId="34" borderId="23" xfId="0" applyFont="1" applyFill="1" applyBorder="1" applyAlignment="1">
      <alignment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9" fontId="11" fillId="34" borderId="38" xfId="66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47" xfId="0" applyFont="1" applyBorder="1" applyAlignment="1">
      <alignment horizontal="center"/>
    </xf>
    <xf numFmtId="49" fontId="11" fillId="0" borderId="48" xfId="44" applyNumberFormat="1" applyFont="1" applyBorder="1" applyAlignment="1">
      <alignment horizontal="center"/>
    </xf>
    <xf numFmtId="166" fontId="11" fillId="0" borderId="28" xfId="44" applyNumberFormat="1" applyFont="1" applyBorder="1" applyAlignment="1">
      <alignment horizontal="center"/>
    </xf>
    <xf numFmtId="43" fontId="11" fillId="0" borderId="28" xfId="44" applyNumberFormat="1" applyFont="1" applyBorder="1" applyAlignment="1">
      <alignment horizontal="center"/>
    </xf>
    <xf numFmtId="10" fontId="11" fillId="0" borderId="28" xfId="66" applyNumberFormat="1" applyFont="1" applyBorder="1" applyAlignment="1">
      <alignment horizontal="center"/>
    </xf>
    <xf numFmtId="0" fontId="11" fillId="0" borderId="48" xfId="0" applyFont="1" applyBorder="1" applyAlignment="1">
      <alignment/>
    </xf>
    <xf numFmtId="166" fontId="11" fillId="0" borderId="29" xfId="44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45" fillId="0" borderId="33" xfId="0" applyFont="1" applyBorder="1" applyAlignment="1">
      <alignment horizontal="center"/>
    </xf>
    <xf numFmtId="166" fontId="11" fillId="0" borderId="29" xfId="44" applyNumberFormat="1" applyFont="1" applyBorder="1" applyAlignment="1" quotePrefix="1">
      <alignment horizontal="center"/>
    </xf>
    <xf numFmtId="166" fontId="11" fillId="0" borderId="34" xfId="44" applyNumberFormat="1" applyFont="1" applyBorder="1" applyAlignment="1">
      <alignment horizontal="center"/>
    </xf>
    <xf numFmtId="43" fontId="11" fillId="0" borderId="34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166" fontId="11" fillId="0" borderId="48" xfId="44" applyNumberFormat="1" applyFont="1" applyBorder="1" applyAlignment="1">
      <alignment horizontal="center"/>
    </xf>
    <xf numFmtId="43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40" xfId="0" applyFont="1" applyBorder="1" applyAlignment="1">
      <alignment horizontal="center"/>
    </xf>
    <xf numFmtId="166" fontId="11" fillId="0" borderId="28" xfId="45" applyNumberFormat="1" applyFont="1" applyBorder="1" applyAlignment="1">
      <alignment horizontal="center"/>
    </xf>
    <xf numFmtId="9" fontId="11" fillId="0" borderId="28" xfId="66" applyFont="1" applyBorder="1" applyAlignment="1">
      <alignment horizontal="center"/>
    </xf>
    <xf numFmtId="166" fontId="11" fillId="0" borderId="48" xfId="0" applyNumberFormat="1" applyFont="1" applyBorder="1" applyAlignment="1">
      <alignment horizontal="center"/>
    </xf>
    <xf numFmtId="166" fontId="11" fillId="0" borderId="34" xfId="45" applyNumberFormat="1" applyFont="1" applyBorder="1" applyAlignment="1" quotePrefix="1">
      <alignment horizontal="center"/>
    </xf>
    <xf numFmtId="166" fontId="11" fillId="0" borderId="34" xfId="45" applyNumberFormat="1" applyFont="1" applyBorder="1" applyAlignment="1">
      <alignment horizontal="center"/>
    </xf>
    <xf numFmtId="166" fontId="41" fillId="0" borderId="45" xfId="0" applyNumberFormat="1" applyFont="1" applyBorder="1" applyAlignment="1">
      <alignment horizontal="center"/>
    </xf>
    <xf numFmtId="43" fontId="40" fillId="0" borderId="34" xfId="4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34" borderId="18" xfId="0" applyFont="1" applyFill="1" applyBorder="1" applyAlignment="1">
      <alignment horizontal="left"/>
    </xf>
    <xf numFmtId="0" fontId="11" fillId="34" borderId="5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23" xfId="0" applyFont="1" applyFill="1" applyBorder="1" applyAlignment="1">
      <alignment horizontal="left"/>
    </xf>
    <xf numFmtId="0" fontId="11" fillId="34" borderId="29" xfId="0" applyFont="1" applyFill="1" applyBorder="1" applyAlignment="1">
      <alignment horizontal="center"/>
    </xf>
    <xf numFmtId="0" fontId="11" fillId="34" borderId="54" xfId="0" applyFont="1" applyFill="1" applyBorder="1" applyAlignment="1">
      <alignment/>
    </xf>
    <xf numFmtId="0" fontId="11" fillId="34" borderId="19" xfId="0" applyFont="1" applyFill="1" applyBorder="1" applyAlignment="1">
      <alignment horizontal="center" wrapText="1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40" fillId="0" borderId="5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9" fontId="11" fillId="0" borderId="34" xfId="66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166" fontId="11" fillId="0" borderId="34" xfId="44" applyNumberFormat="1" applyFont="1" applyBorder="1" applyAlignment="1">
      <alignment horizontal="right" vertical="top"/>
    </xf>
    <xf numFmtId="166" fontId="11" fillId="0" borderId="11" xfId="44" applyNumberFormat="1" applyFont="1" applyBorder="1" applyAlignment="1">
      <alignment horizontal="left" vertical="top"/>
    </xf>
    <xf numFmtId="166" fontId="11" fillId="0" borderId="28" xfId="44" applyNumberFormat="1" applyFont="1" applyBorder="1" applyAlignment="1">
      <alignment horizontal="left" vertical="top"/>
    </xf>
    <xf numFmtId="0" fontId="11" fillId="0" borderId="53" xfId="0" applyFont="1" applyBorder="1" applyAlignment="1">
      <alignment vertical="top"/>
    </xf>
    <xf numFmtId="166" fontId="11" fillId="0" borderId="29" xfId="44" applyNumberFormat="1" applyFont="1" applyBorder="1" applyAlignment="1">
      <alignment vertical="top"/>
    </xf>
    <xf numFmtId="166" fontId="11" fillId="0" borderId="48" xfId="44" applyNumberFormat="1" applyFont="1" applyBorder="1" applyAlignment="1">
      <alignment horizontal="left" vertical="top"/>
    </xf>
    <xf numFmtId="166" fontId="11" fillId="0" borderId="29" xfId="44" applyNumberFormat="1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166" fontId="11" fillId="0" borderId="58" xfId="44" applyNumberFormat="1" applyFont="1" applyBorder="1" applyAlignment="1">
      <alignment horizontal="left" vertical="top"/>
    </xf>
    <xf numFmtId="166" fontId="11" fillId="0" borderId="43" xfId="44" applyNumberFormat="1" applyFont="1" applyBorder="1" applyAlignment="1">
      <alignment horizontal="left" vertical="top"/>
    </xf>
    <xf numFmtId="0" fontId="11" fillId="0" borderId="34" xfId="0" applyFont="1" applyBorder="1" applyAlignment="1">
      <alignment vertical="top"/>
    </xf>
    <xf numFmtId="166" fontId="11" fillId="0" borderId="14" xfId="44" applyNumberFormat="1" applyFont="1" applyBorder="1" applyAlignment="1">
      <alignment horizontal="left" vertical="top"/>
    </xf>
    <xf numFmtId="166" fontId="11" fillId="0" borderId="28" xfId="44" applyNumberFormat="1" applyFont="1" applyBorder="1" applyAlignment="1">
      <alignment vertical="top"/>
    </xf>
    <xf numFmtId="166" fontId="11" fillId="0" borderId="42" xfId="44" applyNumberFormat="1" applyFont="1" applyBorder="1" applyAlignment="1">
      <alignment horizontal="left" vertical="top"/>
    </xf>
    <xf numFmtId="0" fontId="11" fillId="0" borderId="48" xfId="0" applyFont="1" applyBorder="1" applyAlignment="1">
      <alignment horizontal="center" vertical="top"/>
    </xf>
    <xf numFmtId="166" fontId="11" fillId="0" borderId="48" xfId="44" applyNumberFormat="1" applyFont="1" applyBorder="1" applyAlignment="1">
      <alignment vertical="top"/>
    </xf>
    <xf numFmtId="166" fontId="11" fillId="0" borderId="59" xfId="44" applyNumberFormat="1" applyFont="1" applyBorder="1" applyAlignment="1">
      <alignment horizontal="left" vertical="top"/>
    </xf>
    <xf numFmtId="0" fontId="11" fillId="0" borderId="53" xfId="0" applyFont="1" applyBorder="1" applyAlignment="1">
      <alignment horizontal="center" vertical="top"/>
    </xf>
    <xf numFmtId="166" fontId="11" fillId="0" borderId="0" xfId="44" applyNumberFormat="1" applyFont="1" applyBorder="1" applyAlignment="1">
      <alignment horizontal="left" vertical="top"/>
    </xf>
    <xf numFmtId="166" fontId="11" fillId="0" borderId="34" xfId="44" applyNumberFormat="1" applyFont="1" applyBorder="1" applyAlignment="1">
      <alignment horizontal="left" vertical="top"/>
    </xf>
    <xf numFmtId="166" fontId="11" fillId="0" borderId="46" xfId="44" applyNumberFormat="1" applyFont="1" applyBorder="1" applyAlignment="1">
      <alignment horizontal="center" vertical="top"/>
    </xf>
    <xf numFmtId="166" fontId="11" fillId="0" borderId="44" xfId="44" applyNumberFormat="1" applyFont="1" applyBorder="1" applyAlignment="1">
      <alignment horizontal="left" vertical="top"/>
    </xf>
    <xf numFmtId="166" fontId="11" fillId="0" borderId="27" xfId="44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60" xfId="0" applyFont="1" applyBorder="1" applyAlignment="1">
      <alignment vertical="top"/>
    </xf>
    <xf numFmtId="0" fontId="11" fillId="0" borderId="35" xfId="0" applyFont="1" applyBorder="1" applyAlignment="1">
      <alignment vertical="top" wrapText="1"/>
    </xf>
    <xf numFmtId="0" fontId="11" fillId="0" borderId="6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1" fillId="0" borderId="43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6" fontId="11" fillId="0" borderId="61" xfId="44" applyNumberFormat="1" applyFont="1" applyBorder="1" applyAlignment="1">
      <alignment horizontal="center" vertical="top"/>
    </xf>
    <xf numFmtId="166" fontId="11" fillId="0" borderId="62" xfId="44" applyNumberFormat="1" applyFont="1" applyBorder="1" applyAlignment="1">
      <alignment horizontal="center" vertical="top"/>
    </xf>
    <xf numFmtId="0" fontId="11" fillId="0" borderId="59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166" fontId="11" fillId="0" borderId="31" xfId="44" applyNumberFormat="1" applyFont="1" applyBorder="1" applyAlignment="1">
      <alignment horizontal="left" vertical="top"/>
    </xf>
    <xf numFmtId="166" fontId="11" fillId="0" borderId="52" xfId="44" applyNumberFormat="1" applyFont="1" applyBorder="1" applyAlignment="1">
      <alignment horizontal="left" vertical="top"/>
    </xf>
    <xf numFmtId="0" fontId="11" fillId="0" borderId="28" xfId="0" applyFont="1" applyFill="1" applyBorder="1" applyAlignment="1">
      <alignment vertical="top" wrapText="1"/>
    </xf>
    <xf numFmtId="0" fontId="11" fillId="0" borderId="62" xfId="0" applyFont="1" applyBorder="1" applyAlignment="1">
      <alignment horizontal="center" vertical="top"/>
    </xf>
    <xf numFmtId="166" fontId="45" fillId="0" borderId="63" xfId="0" applyNumberFormat="1" applyFont="1" applyBorder="1" applyAlignment="1">
      <alignment vertical="top"/>
    </xf>
    <xf numFmtId="43" fontId="40" fillId="0" borderId="34" xfId="0" applyNumberFormat="1" applyFont="1" applyBorder="1" applyAlignment="1">
      <alignment vertical="top"/>
    </xf>
    <xf numFmtId="166" fontId="40" fillId="0" borderId="51" xfId="0" applyNumberFormat="1" applyFont="1" applyBorder="1" applyAlignment="1">
      <alignment vertical="top"/>
    </xf>
    <xf numFmtId="166" fontId="0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43" fontId="15" fillId="0" borderId="0" xfId="44" applyFont="1" applyAlignment="1">
      <alignment/>
    </xf>
    <xf numFmtId="0" fontId="11" fillId="34" borderId="11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37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9" fontId="11" fillId="0" borderId="51" xfId="66" applyFont="1" applyBorder="1" applyAlignment="1">
      <alignment horizontal="center" vertical="top"/>
    </xf>
    <xf numFmtId="49" fontId="11" fillId="0" borderId="28" xfId="44" applyNumberFormat="1" applyFont="1" applyBorder="1" applyAlignment="1">
      <alignment horizontal="center" vertical="top"/>
    </xf>
    <xf numFmtId="166" fontId="11" fillId="0" borderId="51" xfId="44" applyNumberFormat="1" applyFont="1" applyBorder="1" applyAlignment="1">
      <alignment horizontal="center" vertical="top"/>
    </xf>
    <xf numFmtId="49" fontId="11" fillId="0" borderId="29" xfId="44" applyNumberFormat="1" applyFont="1" applyBorder="1" applyAlignment="1">
      <alignment horizontal="center" vertical="top"/>
    </xf>
    <xf numFmtId="0" fontId="46" fillId="0" borderId="33" xfId="0" applyFont="1" applyBorder="1" applyAlignment="1">
      <alignment vertical="top"/>
    </xf>
    <xf numFmtId="0" fontId="46" fillId="0" borderId="29" xfId="0" applyFont="1" applyBorder="1" applyAlignment="1">
      <alignment vertical="top"/>
    </xf>
    <xf numFmtId="49" fontId="46" fillId="0" borderId="29" xfId="0" applyNumberFormat="1" applyFont="1" applyBorder="1" applyAlignment="1">
      <alignment vertical="top"/>
    </xf>
    <xf numFmtId="0" fontId="46" fillId="0" borderId="44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6" fillId="0" borderId="34" xfId="0" applyFont="1" applyBorder="1" applyAlignment="1">
      <alignment vertical="top"/>
    </xf>
    <xf numFmtId="49" fontId="46" fillId="0" borderId="34" xfId="0" applyNumberFormat="1" applyFont="1" applyBorder="1" applyAlignment="1">
      <alignment vertical="top"/>
    </xf>
    <xf numFmtId="0" fontId="46" fillId="0" borderId="52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166" fontId="11" fillId="0" borderId="17" xfId="44" applyNumberFormat="1" applyFont="1" applyBorder="1" applyAlignment="1">
      <alignment horizontal="left" vertical="top"/>
    </xf>
    <xf numFmtId="49" fontId="11" fillId="0" borderId="34" xfId="44" applyNumberFormat="1" applyFont="1" applyBorder="1" applyAlignment="1">
      <alignment horizontal="center" vertical="top"/>
    </xf>
    <xf numFmtId="166" fontId="11" fillId="0" borderId="52" xfId="44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66" fontId="11" fillId="0" borderId="16" xfId="44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166" fontId="11" fillId="0" borderId="35" xfId="44" applyNumberFormat="1" applyFont="1" applyBorder="1" applyAlignment="1">
      <alignment horizontal="left" vertical="top"/>
    </xf>
    <xf numFmtId="0" fontId="11" fillId="0" borderId="36" xfId="0" applyFont="1" applyBorder="1" applyAlignment="1">
      <alignment vertical="top"/>
    </xf>
    <xf numFmtId="0" fontId="11" fillId="0" borderId="47" xfId="0" applyFont="1" applyBorder="1" applyAlignment="1">
      <alignment vertical="top"/>
    </xf>
    <xf numFmtId="0" fontId="11" fillId="0" borderId="50" xfId="0" applyFont="1" applyBorder="1" applyAlignment="1">
      <alignment horizontal="center" vertical="top"/>
    </xf>
    <xf numFmtId="0" fontId="11" fillId="0" borderId="50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29" xfId="0" applyFont="1" applyBorder="1" applyAlignment="1" quotePrefix="1">
      <alignment horizontal="center" vertical="top"/>
    </xf>
    <xf numFmtId="166" fontId="11" fillId="0" borderId="16" xfId="44" applyNumberFormat="1" applyFont="1" applyBorder="1" applyAlignment="1">
      <alignment horizontal="left" vertical="top"/>
    </xf>
    <xf numFmtId="0" fontId="11" fillId="0" borderId="34" xfId="0" applyFont="1" applyBorder="1" applyAlignment="1" quotePrefix="1">
      <alignment horizontal="center" vertical="top"/>
    </xf>
    <xf numFmtId="166" fontId="11" fillId="0" borderId="59" xfId="44" applyNumberFormat="1" applyFont="1" applyBorder="1" applyAlignment="1">
      <alignment horizontal="center" vertical="top"/>
    </xf>
    <xf numFmtId="49" fontId="11" fillId="0" borderId="59" xfId="44" applyNumberFormat="1" applyFont="1" applyBorder="1" applyAlignment="1">
      <alignment horizontal="center" vertical="top"/>
    </xf>
    <xf numFmtId="166" fontId="40" fillId="0" borderId="34" xfId="0" applyNumberFormat="1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43" fontId="12" fillId="0" borderId="0" xfId="44" applyFont="1" applyAlignment="1">
      <alignment/>
    </xf>
    <xf numFmtId="0" fontId="11" fillId="34" borderId="11" xfId="0" applyFont="1" applyFill="1" applyBorder="1" applyAlignment="1">
      <alignment horizontal="center"/>
    </xf>
    <xf numFmtId="0" fontId="11" fillId="34" borderId="6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51" xfId="0" applyFont="1" applyBorder="1" applyAlignment="1">
      <alignment horizontal="center" vertical="top"/>
    </xf>
    <xf numFmtId="166" fontId="11" fillId="0" borderId="34" xfId="0" applyNumberFormat="1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166" fontId="11" fillId="0" borderId="34" xfId="44" applyNumberFormat="1" applyFont="1" applyBorder="1" applyAlignment="1">
      <alignment vertical="top"/>
    </xf>
    <xf numFmtId="166" fontId="11" fillId="0" borderId="52" xfId="44" applyNumberFormat="1" applyFont="1" applyBorder="1" applyAlignment="1">
      <alignment vertical="top"/>
    </xf>
    <xf numFmtId="0" fontId="11" fillId="0" borderId="16" xfId="0" applyFont="1" applyBorder="1" applyAlignment="1">
      <alignment vertical="top" wrapText="1"/>
    </xf>
    <xf numFmtId="166" fontId="11" fillId="0" borderId="49" xfId="44" applyNumberFormat="1" applyFont="1" applyBorder="1" applyAlignment="1">
      <alignment vertical="top"/>
    </xf>
    <xf numFmtId="0" fontId="11" fillId="0" borderId="49" xfId="0" applyFont="1" applyBorder="1" applyAlignment="1">
      <alignment horizontal="center" vertical="top"/>
    </xf>
    <xf numFmtId="166" fontId="11" fillId="0" borderId="27" xfId="44" applyNumberFormat="1" applyFont="1" applyBorder="1" applyAlignment="1">
      <alignment horizontal="left" vertical="top" wrapText="1"/>
    </xf>
    <xf numFmtId="166" fontId="11" fillId="0" borderId="28" xfId="44" applyNumberFormat="1" applyFont="1" applyBorder="1" applyAlignment="1">
      <alignment horizontal="left" vertical="top" wrapText="1"/>
    </xf>
    <xf numFmtId="166" fontId="11" fillId="0" borderId="44" xfId="44" applyNumberFormat="1" applyFont="1" applyBorder="1" applyAlignment="1">
      <alignment vertical="top"/>
    </xf>
    <xf numFmtId="166" fontId="41" fillId="0" borderId="45" xfId="0" applyNumberFormat="1" applyFont="1" applyBorder="1" applyAlignment="1">
      <alignment horizontal="center" vertical="top"/>
    </xf>
    <xf numFmtId="166" fontId="41" fillId="0" borderId="51" xfId="0" applyNumberFormat="1" applyFont="1" applyBorder="1" applyAlignment="1">
      <alignment horizontal="center" vertical="top"/>
    </xf>
    <xf numFmtId="43" fontId="40" fillId="0" borderId="28" xfId="0" applyNumberFormat="1" applyFont="1" applyBorder="1" applyAlignment="1">
      <alignment vertical="top"/>
    </xf>
    <xf numFmtId="166" fontId="47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11" fillId="0" borderId="0" xfId="44" applyNumberFormat="1" applyFont="1" applyBorder="1" applyAlignment="1">
      <alignment vertical="center"/>
    </xf>
    <xf numFmtId="166" fontId="11" fillId="0" borderId="0" xfId="44" applyNumberFormat="1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66" fontId="11" fillId="0" borderId="0" xfId="44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48" fillId="0" borderId="33" xfId="0" applyFont="1" applyBorder="1" applyAlignment="1">
      <alignment horizontal="center" vertical="top"/>
    </xf>
    <xf numFmtId="43" fontId="11" fillId="0" borderId="34" xfId="44" applyFont="1" applyBorder="1" applyAlignment="1">
      <alignment horizontal="center" vertical="top"/>
    </xf>
    <xf numFmtId="9" fontId="11" fillId="0" borderId="34" xfId="66" applyFont="1" applyBorder="1" applyAlignment="1">
      <alignment horizontal="center" vertical="top"/>
    </xf>
    <xf numFmtId="166" fontId="11" fillId="0" borderId="0" xfId="44" applyNumberFormat="1" applyFont="1" applyBorder="1" applyAlignment="1">
      <alignment horizontal="center" vertical="top"/>
    </xf>
    <xf numFmtId="0" fontId="11" fillId="0" borderId="48" xfId="0" applyFont="1" applyBorder="1" applyAlignment="1">
      <alignment vertical="top"/>
    </xf>
    <xf numFmtId="0" fontId="11" fillId="0" borderId="58" xfId="0" applyFont="1" applyBorder="1" applyAlignment="1">
      <alignment horizontal="center" vertical="top"/>
    </xf>
    <xf numFmtId="166" fontId="11" fillId="0" borderId="58" xfId="44" applyNumberFormat="1" applyFont="1" applyBorder="1" applyAlignment="1">
      <alignment horizontal="center" vertical="top"/>
    </xf>
    <xf numFmtId="166" fontId="11" fillId="0" borderId="16" xfId="44" applyNumberFormat="1" applyFont="1" applyBorder="1" applyAlignment="1">
      <alignment horizontal="center" vertical="top"/>
    </xf>
    <xf numFmtId="0" fontId="11" fillId="0" borderId="34" xfId="0" applyFont="1" applyBorder="1" applyAlignment="1">
      <alignment vertical="top"/>
    </xf>
    <xf numFmtId="166" fontId="11" fillId="0" borderId="0" xfId="44" applyNumberFormat="1" applyFont="1" applyBorder="1" applyAlignment="1">
      <alignment vertical="top"/>
    </xf>
    <xf numFmtId="166" fontId="11" fillId="0" borderId="46" xfId="44" applyNumberFormat="1" applyFont="1" applyBorder="1" applyAlignment="1">
      <alignment vertical="top"/>
    </xf>
    <xf numFmtId="0" fontId="11" fillId="0" borderId="29" xfId="0" applyFont="1" applyBorder="1" applyAlignment="1">
      <alignment vertical="top"/>
    </xf>
    <xf numFmtId="166" fontId="11" fillId="0" borderId="17" xfId="44" applyNumberFormat="1" applyFont="1" applyBorder="1" applyAlignment="1">
      <alignment horizontal="center" vertical="top"/>
    </xf>
    <xf numFmtId="0" fontId="11" fillId="0" borderId="59" xfId="0" applyFont="1" applyBorder="1" applyAlignment="1">
      <alignment vertical="top"/>
    </xf>
    <xf numFmtId="0" fontId="11" fillId="0" borderId="29" xfId="0" applyFont="1" applyBorder="1" applyAlignment="1">
      <alignment vertical="top" wrapText="1"/>
    </xf>
    <xf numFmtId="166" fontId="11" fillId="0" borderId="59" xfId="44" applyNumberFormat="1" applyFont="1" applyBorder="1" applyAlignment="1">
      <alignment horizontal="left" vertical="top" wrapText="1"/>
    </xf>
    <xf numFmtId="166" fontId="11" fillId="0" borderId="43" xfId="44" applyNumberFormat="1" applyFont="1" applyBorder="1" applyAlignment="1">
      <alignment horizontal="left" vertical="top" wrapText="1"/>
    </xf>
    <xf numFmtId="166" fontId="11" fillId="0" borderId="48" xfId="44" applyNumberFormat="1" applyFont="1" applyBorder="1" applyAlignment="1">
      <alignment horizontal="left" vertical="top" wrapText="1"/>
    </xf>
    <xf numFmtId="166" fontId="11" fillId="0" borderId="62" xfId="44" applyNumberFormat="1" applyFont="1" applyBorder="1" applyAlignment="1">
      <alignment horizontal="left" vertical="top"/>
    </xf>
    <xf numFmtId="166" fontId="11" fillId="0" borderId="36" xfId="0" applyNumberFormat="1" applyFont="1" applyBorder="1" applyAlignment="1">
      <alignment/>
    </xf>
    <xf numFmtId="166" fontId="40" fillId="0" borderId="28" xfId="0" applyNumberFormat="1" applyFont="1" applyBorder="1" applyAlignment="1">
      <alignment horizontal="center"/>
    </xf>
    <xf numFmtId="166" fontId="40" fillId="0" borderId="28" xfId="44" applyNumberFormat="1" applyFont="1" applyBorder="1" applyAlignment="1">
      <alignment/>
    </xf>
    <xf numFmtId="166" fontId="41" fillId="0" borderId="28" xfId="0" applyNumberFormat="1" applyFont="1" applyBorder="1" applyAlignment="1">
      <alignment/>
    </xf>
    <xf numFmtId="43" fontId="40" fillId="0" borderId="28" xfId="44" applyNumberFormat="1" applyFont="1" applyBorder="1" applyAlignment="1">
      <alignment/>
    </xf>
    <xf numFmtId="166" fontId="40" fillId="0" borderId="28" xfId="0" applyNumberFormat="1" applyFont="1" applyBorder="1" applyAlignment="1">
      <alignment/>
    </xf>
    <xf numFmtId="166" fontId="40" fillId="0" borderId="52" xfId="0" applyNumberFormat="1" applyFont="1" applyBorder="1" applyAlignment="1">
      <alignment/>
    </xf>
    <xf numFmtId="166" fontId="41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 horizontal="center"/>
    </xf>
    <xf numFmtId="166" fontId="40" fillId="0" borderId="0" xfId="0" applyNumberFormat="1" applyFont="1" applyBorder="1" applyAlignment="1">
      <alignment/>
    </xf>
    <xf numFmtId="16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0" fontId="11" fillId="34" borderId="38" xfId="66" applyNumberFormat="1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42" fillId="0" borderId="0" xfId="0" applyFont="1" applyBorder="1" applyAlignment="1">
      <alignment/>
    </xf>
    <xf numFmtId="43" fontId="11" fillId="0" borderId="28" xfId="44" applyFont="1" applyBorder="1" applyAlignment="1">
      <alignment horizontal="center"/>
    </xf>
    <xf numFmtId="189" fontId="11" fillId="0" borderId="28" xfId="66" applyNumberFormat="1" applyFont="1" applyBorder="1" applyAlignment="1">
      <alignment horizontal="center"/>
    </xf>
    <xf numFmtId="189" fontId="11" fillId="0" borderId="28" xfId="66" applyNumberFormat="1" applyFont="1" applyBorder="1" applyAlignment="1">
      <alignment horizontal="center" vertical="top"/>
    </xf>
    <xf numFmtId="0" fontId="45" fillId="0" borderId="33" xfId="0" applyFont="1" applyBorder="1" applyAlignment="1">
      <alignment horizontal="center" vertical="top"/>
    </xf>
    <xf numFmtId="10" fontId="11" fillId="0" borderId="28" xfId="44" applyNumberFormat="1" applyFont="1" applyBorder="1" applyAlignment="1">
      <alignment horizontal="center"/>
    </xf>
    <xf numFmtId="43" fontId="11" fillId="0" borderId="34" xfId="44" applyFont="1" applyBorder="1" applyAlignment="1">
      <alignment horizontal="center"/>
    </xf>
    <xf numFmtId="10" fontId="11" fillId="0" borderId="34" xfId="44" applyNumberFormat="1" applyFont="1" applyBorder="1" applyAlignment="1">
      <alignment horizontal="center"/>
    </xf>
    <xf numFmtId="43" fontId="11" fillId="0" borderId="48" xfId="44" applyFont="1" applyBorder="1" applyAlignment="1">
      <alignment horizontal="center"/>
    </xf>
    <xf numFmtId="43" fontId="40" fillId="0" borderId="34" xfId="44" applyFont="1" applyBorder="1" applyAlignment="1">
      <alignment/>
    </xf>
    <xf numFmtId="0" fontId="14" fillId="0" borderId="0" xfId="0" applyFont="1" applyAlignment="1">
      <alignment horizontal="left" vertical="top" wrapText="1"/>
    </xf>
    <xf numFmtId="166" fontId="11" fillId="0" borderId="67" xfId="44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68" xfId="0" applyFont="1" applyBorder="1" applyAlignment="1">
      <alignment vertical="top"/>
    </xf>
    <xf numFmtId="0" fontId="11" fillId="0" borderId="6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11" fillId="0" borderId="69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166" fontId="11" fillId="0" borderId="17" xfId="44" applyNumberFormat="1" applyFont="1" applyBorder="1" applyAlignment="1">
      <alignment horizontal="center"/>
    </xf>
    <xf numFmtId="166" fontId="11" fillId="0" borderId="16" xfId="44" applyNumberFormat="1" applyFont="1" applyBorder="1" applyAlignment="1">
      <alignment horizontal="center"/>
    </xf>
    <xf numFmtId="166" fontId="11" fillId="0" borderId="49" xfId="44" applyNumberFormat="1" applyFont="1" applyBorder="1" applyAlignment="1">
      <alignment horizontal="center"/>
    </xf>
    <xf numFmtId="166" fontId="11" fillId="0" borderId="52" xfId="44" applyNumberFormat="1" applyFont="1" applyBorder="1" applyAlignment="1">
      <alignment horizontal="center"/>
    </xf>
    <xf numFmtId="166" fontId="11" fillId="0" borderId="17" xfId="45" applyNumberFormat="1" applyFont="1" applyBorder="1" applyAlignment="1">
      <alignment horizontal="center"/>
    </xf>
    <xf numFmtId="166" fontId="11" fillId="0" borderId="16" xfId="45" applyNumberFormat="1" applyFont="1" applyBorder="1" applyAlignment="1">
      <alignment horizontal="center"/>
    </xf>
    <xf numFmtId="166" fontId="11" fillId="0" borderId="49" xfId="44" applyNumberFormat="1" applyFont="1" applyBorder="1" applyAlignment="1">
      <alignment horizontal="left" vertical="top"/>
    </xf>
    <xf numFmtId="166" fontId="11" fillId="0" borderId="70" xfId="44" applyNumberFormat="1" applyFont="1" applyBorder="1" applyAlignment="1">
      <alignment horizontal="left" vertical="top"/>
    </xf>
    <xf numFmtId="0" fontId="11" fillId="0" borderId="70" xfId="0" applyFont="1" applyBorder="1" applyAlignment="1">
      <alignment vertical="top"/>
    </xf>
    <xf numFmtId="166" fontId="11" fillId="0" borderId="69" xfId="44" applyNumberFormat="1" applyFont="1" applyBorder="1" applyAlignment="1">
      <alignment horizontal="left" vertical="top"/>
    </xf>
    <xf numFmtId="166" fontId="11" fillId="0" borderId="68" xfId="44" applyNumberFormat="1" applyFont="1" applyBorder="1" applyAlignment="1">
      <alignment horizontal="left" vertical="top"/>
    </xf>
    <xf numFmtId="0" fontId="11" fillId="0" borderId="68" xfId="0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1" fillId="0" borderId="68" xfId="0" applyFont="1" applyFill="1" applyBorder="1" applyAlignment="1">
      <alignment vertical="top" wrapText="1"/>
    </xf>
    <xf numFmtId="0" fontId="11" fillId="0" borderId="71" xfId="0" applyFont="1" applyBorder="1" applyAlignment="1">
      <alignment vertical="top" wrapText="1"/>
    </xf>
    <xf numFmtId="0" fontId="11" fillId="0" borderId="72" xfId="0" applyFont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51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69" xfId="0" applyFont="1" applyBorder="1" applyAlignment="1">
      <alignment vertical="top"/>
    </xf>
    <xf numFmtId="0" fontId="11" fillId="0" borderId="71" xfId="0" applyFont="1" applyBorder="1" applyAlignment="1">
      <alignment vertical="top" wrapText="1"/>
    </xf>
    <xf numFmtId="0" fontId="11" fillId="0" borderId="70" xfId="0" applyFont="1" applyBorder="1" applyAlignment="1">
      <alignment vertical="top" wrapText="1"/>
    </xf>
    <xf numFmtId="166" fontId="11" fillId="0" borderId="12" xfId="44" applyNumberFormat="1" applyFont="1" applyBorder="1" applyAlignment="1">
      <alignment horizontal="left" vertical="top" wrapText="1"/>
    </xf>
    <xf numFmtId="166" fontId="11" fillId="0" borderId="69" xfId="44" applyNumberFormat="1" applyFont="1" applyBorder="1" applyAlignment="1">
      <alignment horizontal="left" vertical="top" wrapText="1"/>
    </xf>
    <xf numFmtId="166" fontId="11" fillId="0" borderId="51" xfId="44" applyNumberFormat="1" applyFont="1" applyBorder="1" applyAlignment="1">
      <alignment horizontal="left" vertical="top" wrapText="1"/>
    </xf>
    <xf numFmtId="166" fontId="11" fillId="0" borderId="44" xfId="44" applyNumberFormat="1" applyFont="1" applyBorder="1" applyAlignment="1">
      <alignment horizontal="left" vertical="top" wrapText="1"/>
    </xf>
    <xf numFmtId="0" fontId="0" fillId="0" borderId="61" xfId="0" applyBorder="1" applyAlignment="1">
      <alignment/>
    </xf>
    <xf numFmtId="166" fontId="40" fillId="0" borderId="62" xfId="0" applyNumberFormat="1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1" fillId="0" borderId="29" xfId="0" applyFont="1" applyBorder="1" applyAlignment="1">
      <alignment horizontal="center"/>
    </xf>
    <xf numFmtId="43" fontId="11" fillId="0" borderId="29" xfId="0" applyNumberFormat="1" applyFont="1" applyBorder="1" applyAlignment="1">
      <alignment horizontal="center"/>
    </xf>
    <xf numFmtId="166" fontId="11" fillId="0" borderId="44" xfId="44" applyNumberFormat="1" applyFont="1" applyBorder="1" applyAlignment="1">
      <alignment horizontal="center"/>
    </xf>
    <xf numFmtId="0" fontId="11" fillId="0" borderId="44" xfId="0" applyFont="1" applyBorder="1" applyAlignment="1">
      <alignment horizontal="left" wrapText="1"/>
    </xf>
    <xf numFmtId="0" fontId="11" fillId="0" borderId="51" xfId="0" applyFont="1" applyBorder="1" applyAlignment="1">
      <alignment horizontal="left"/>
    </xf>
    <xf numFmtId="166" fontId="6" fillId="0" borderId="0" xfId="0" applyNumberFormat="1" applyFont="1" applyFill="1" applyAlignment="1">
      <alignment vertical="top"/>
    </xf>
    <xf numFmtId="0" fontId="2" fillId="0" borderId="43" xfId="0" applyFont="1" applyBorder="1" applyAlignment="1">
      <alignment horizontal="center" vertical="center" wrapText="1"/>
    </xf>
    <xf numFmtId="43" fontId="2" fillId="0" borderId="43" xfId="44" applyFont="1" applyBorder="1" applyAlignment="1">
      <alignment horizontal="center" vertical="center" wrapText="1"/>
    </xf>
    <xf numFmtId="166" fontId="2" fillId="0" borderId="43" xfId="44" applyNumberFormat="1" applyFont="1" applyBorder="1" applyAlignment="1">
      <alignment horizontal="center" vertical="center" wrapText="1"/>
    </xf>
    <xf numFmtId="166" fontId="2" fillId="0" borderId="43" xfId="44" applyNumberFormat="1" applyFont="1" applyBorder="1" applyAlignment="1">
      <alignment horizontal="left" vertical="top" wrapText="1"/>
    </xf>
    <xf numFmtId="0" fontId="18" fillId="0" borderId="7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43" fontId="2" fillId="0" borderId="42" xfId="44" applyFont="1" applyBorder="1" applyAlignment="1">
      <alignment horizontal="center" vertical="center" wrapText="1"/>
    </xf>
    <xf numFmtId="166" fontId="2" fillId="0" borderId="42" xfId="44" applyNumberFormat="1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13" fillId="0" borderId="0" xfId="0" applyNumberFormat="1" applyFont="1" applyAlignment="1">
      <alignment vertical="center" wrapText="1"/>
    </xf>
    <xf numFmtId="0" fontId="0" fillId="0" borderId="43" xfId="0" applyFont="1" applyBorder="1" applyAlignment="1">
      <alignment/>
    </xf>
    <xf numFmtId="43" fontId="11" fillId="0" borderId="43" xfId="44" applyFont="1" applyBorder="1" applyAlignment="1">
      <alignment horizontal="center" vertical="top"/>
    </xf>
    <xf numFmtId="9" fontId="11" fillId="0" borderId="43" xfId="66" applyFont="1" applyBorder="1" applyAlignment="1">
      <alignment horizontal="center" vertical="top"/>
    </xf>
    <xf numFmtId="0" fontId="2" fillId="0" borderId="43" xfId="0" applyFont="1" applyBorder="1" applyAlignment="1">
      <alignment/>
    </xf>
    <xf numFmtId="166" fontId="2" fillId="0" borderId="43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166" fontId="11" fillId="0" borderId="28" xfId="44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9" fontId="11" fillId="0" borderId="28" xfId="66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166" fontId="2" fillId="0" borderId="43" xfId="0" applyNumberFormat="1" applyFont="1" applyBorder="1" applyAlignment="1">
      <alignment vertical="center"/>
    </xf>
    <xf numFmtId="166" fontId="0" fillId="0" borderId="43" xfId="0" applyNumberForma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9" fontId="11" fillId="0" borderId="43" xfId="66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43" xfId="0" applyFont="1" applyBorder="1" applyAlignment="1">
      <alignment vertical="center"/>
    </xf>
    <xf numFmtId="166" fontId="0" fillId="0" borderId="43" xfId="0" applyNumberFormat="1" applyFont="1" applyBorder="1" applyAlignment="1">
      <alignment vertical="center"/>
    </xf>
    <xf numFmtId="43" fontId="11" fillId="0" borderId="43" xfId="44" applyFont="1" applyBorder="1" applyAlignment="1">
      <alignment horizontal="center" vertical="center"/>
    </xf>
    <xf numFmtId="166" fontId="2" fillId="0" borderId="43" xfId="0" applyNumberFormat="1" applyFont="1" applyBorder="1" applyAlignment="1">
      <alignment horizontal="center" vertical="center"/>
    </xf>
    <xf numFmtId="166" fontId="11" fillId="0" borderId="43" xfId="44" applyNumberFormat="1" applyFont="1" applyBorder="1" applyAlignment="1">
      <alignment horizontal="left" vertical="center"/>
    </xf>
    <xf numFmtId="9" fontId="0" fillId="0" borderId="43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43" fontId="11" fillId="0" borderId="28" xfId="44" applyFont="1" applyBorder="1" applyAlignment="1">
      <alignment horizontal="center" vertical="center"/>
    </xf>
    <xf numFmtId="189" fontId="11" fillId="0" borderId="28" xfId="66" applyNumberFormat="1" applyFont="1" applyBorder="1" applyAlignment="1">
      <alignment horizontal="center" vertical="center"/>
    </xf>
    <xf numFmtId="166" fontId="11" fillId="0" borderId="27" xfId="44" applyNumberFormat="1" applyFont="1" applyBorder="1" applyAlignment="1">
      <alignment horizontal="center" vertical="center"/>
    </xf>
    <xf numFmtId="166" fontId="19" fillId="0" borderId="43" xfId="0" applyNumberFormat="1" applyFont="1" applyBorder="1" applyAlignment="1">
      <alignment vertical="center" wrapText="1"/>
    </xf>
    <xf numFmtId="0" fontId="49" fillId="0" borderId="0" xfId="0" applyFont="1" applyAlignment="1">
      <alignment vertical="top" wrapText="1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66" fontId="11" fillId="0" borderId="43" xfId="44" applyNumberFormat="1" applyFont="1" applyBorder="1" applyAlignment="1">
      <alignment horizontal="center"/>
    </xf>
    <xf numFmtId="0" fontId="11" fillId="0" borderId="46" xfId="0" applyFont="1" applyBorder="1" applyAlignment="1">
      <alignment horizontal="center" vertical="top"/>
    </xf>
    <xf numFmtId="0" fontId="11" fillId="0" borderId="48" xfId="0" applyFont="1" applyFill="1" applyBorder="1" applyAlignment="1">
      <alignment vertical="top" wrapText="1"/>
    </xf>
    <xf numFmtId="166" fontId="11" fillId="0" borderId="29" xfId="44" applyNumberFormat="1" applyFont="1" applyBorder="1" applyAlignment="1">
      <alignment horizontal="right" vertical="top"/>
    </xf>
    <xf numFmtId="166" fontId="40" fillId="0" borderId="62" xfId="0" applyNumberFormat="1" applyFont="1" applyBorder="1" applyAlignment="1">
      <alignment vertical="top"/>
    </xf>
    <xf numFmtId="166" fontId="40" fillId="0" borderId="16" xfId="0" applyNumberFormat="1" applyFont="1" applyBorder="1" applyAlignment="1">
      <alignment vertical="top"/>
    </xf>
    <xf numFmtId="166" fontId="40" fillId="0" borderId="52" xfId="0" applyNumberFormat="1" applyFont="1" applyBorder="1" applyAlignment="1">
      <alignment vertical="top"/>
    </xf>
    <xf numFmtId="0" fontId="11" fillId="0" borderId="43" xfId="0" applyFont="1" applyBorder="1" applyAlignment="1">
      <alignment horizontal="center" vertical="top"/>
    </xf>
    <xf numFmtId="166" fontId="11" fillId="0" borderId="43" xfId="44" applyNumberFormat="1" applyFont="1" applyBorder="1" applyAlignment="1">
      <alignment horizontal="center" vertical="top"/>
    </xf>
    <xf numFmtId="166" fontId="11" fillId="0" borderId="43" xfId="44" applyNumberFormat="1" applyFont="1" applyBorder="1" applyAlignment="1">
      <alignment horizontal="right" vertical="top"/>
    </xf>
    <xf numFmtId="49" fontId="11" fillId="0" borderId="43" xfId="44" applyNumberFormat="1" applyFont="1" applyBorder="1" applyAlignment="1">
      <alignment horizontal="center" vertical="top"/>
    </xf>
    <xf numFmtId="166" fontId="40" fillId="0" borderId="43" xfId="0" applyNumberFormat="1" applyFont="1" applyBorder="1" applyAlignment="1">
      <alignment vertical="top"/>
    </xf>
    <xf numFmtId="166" fontId="41" fillId="0" borderId="43" xfId="0" applyNumberFormat="1" applyFont="1" applyBorder="1" applyAlignment="1">
      <alignment horizontal="center" vertical="top"/>
    </xf>
    <xf numFmtId="165" fontId="40" fillId="0" borderId="43" xfId="0" applyNumberFormat="1" applyFont="1" applyBorder="1" applyAlignment="1">
      <alignment vertical="top"/>
    </xf>
    <xf numFmtId="166" fontId="40" fillId="0" borderId="43" xfId="0" applyNumberFormat="1" applyFont="1" applyBorder="1" applyAlignment="1">
      <alignment horizontal="center" vertical="top"/>
    </xf>
    <xf numFmtId="166" fontId="11" fillId="0" borderId="28" xfId="44" applyNumberFormat="1" applyFont="1" applyBorder="1" applyAlignment="1">
      <alignment horizontal="left"/>
    </xf>
    <xf numFmtId="166" fontId="11" fillId="0" borderId="34" xfId="44" applyNumberFormat="1" applyFont="1" applyBorder="1" applyAlignment="1">
      <alignment horizontal="left"/>
    </xf>
    <xf numFmtId="166" fontId="11" fillId="0" borderId="48" xfId="44" applyNumberFormat="1" applyFont="1" applyBorder="1" applyAlignment="1">
      <alignment horizontal="left"/>
    </xf>
    <xf numFmtId="43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left" wrapText="1"/>
    </xf>
    <xf numFmtId="0" fontId="6" fillId="0" borderId="43" xfId="0" applyFont="1" applyFill="1" applyBorder="1" applyAlignment="1">
      <alignment horizontal="left" vertical="center"/>
    </xf>
    <xf numFmtId="0" fontId="70" fillId="0" borderId="0" xfId="0" applyFont="1" applyFill="1" applyAlignment="1">
      <alignment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vertical="center"/>
    </xf>
    <xf numFmtId="166" fontId="0" fillId="0" borderId="43" xfId="0" applyNumberFormat="1" applyFont="1" applyFill="1" applyBorder="1" applyAlignment="1">
      <alignment vertical="center"/>
    </xf>
    <xf numFmtId="195" fontId="9" fillId="0" borderId="43" xfId="0" applyNumberFormat="1" applyFont="1" applyFill="1" applyBorder="1" applyAlignment="1">
      <alignment horizontal="left" vertical="center"/>
    </xf>
    <xf numFmtId="2" fontId="8" fillId="0" borderId="43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195" fontId="9" fillId="0" borderId="43" xfId="0" applyNumberFormat="1" applyFont="1" applyFill="1" applyBorder="1" applyAlignment="1">
      <alignment horizontal="left" vertical="center"/>
    </xf>
    <xf numFmtId="14" fontId="6" fillId="0" borderId="43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43" fontId="7" fillId="0" borderId="59" xfId="42" applyFont="1" applyFill="1" applyBorder="1" applyAlignment="1">
      <alignment horizontal="center" vertical="center" wrapText="1"/>
    </xf>
    <xf numFmtId="43" fontId="7" fillId="0" borderId="42" xfId="42" applyFont="1" applyFill="1" applyBorder="1" applyAlignment="1">
      <alignment horizontal="center" vertical="center" wrapText="1"/>
    </xf>
    <xf numFmtId="166" fontId="7" fillId="0" borderId="59" xfId="42" applyNumberFormat="1" applyFont="1" applyFill="1" applyBorder="1" applyAlignment="1">
      <alignment horizontal="center" vertical="center" wrapText="1"/>
    </xf>
    <xf numFmtId="166" fontId="7" fillId="0" borderId="42" xfId="42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1" fillId="34" borderId="18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34" borderId="4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66" fontId="11" fillId="0" borderId="48" xfId="44" applyNumberFormat="1" applyFont="1" applyBorder="1" applyAlignment="1">
      <alignment horizontal="center" vertical="center" wrapText="1"/>
    </xf>
    <xf numFmtId="166" fontId="11" fillId="0" borderId="29" xfId="44" applyNumberFormat="1" applyFont="1" applyBorder="1" applyAlignment="1">
      <alignment horizontal="center" vertical="center" wrapText="1"/>
    </xf>
    <xf numFmtId="166" fontId="11" fillId="0" borderId="31" xfId="44" applyNumberFormat="1" applyFont="1" applyBorder="1" applyAlignment="1">
      <alignment horizontal="center" vertical="center" wrapText="1"/>
    </xf>
    <xf numFmtId="166" fontId="11" fillId="0" borderId="34" xfId="44" applyNumberFormat="1" applyFont="1" applyBorder="1" applyAlignment="1">
      <alignment horizontal="center" vertical="center" wrapText="1"/>
    </xf>
    <xf numFmtId="166" fontId="11" fillId="0" borderId="29" xfId="44" applyNumberFormat="1" applyFont="1" applyBorder="1" applyAlignment="1">
      <alignment horizontal="center" vertical="center"/>
    </xf>
    <xf numFmtId="166" fontId="11" fillId="0" borderId="34" xfId="44" applyNumberFormat="1" applyFont="1" applyBorder="1" applyAlignment="1">
      <alignment horizontal="center" vertical="center"/>
    </xf>
    <xf numFmtId="178" fontId="11" fillId="0" borderId="29" xfId="44" applyNumberFormat="1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166" fontId="11" fillId="0" borderId="48" xfId="44" applyNumberFormat="1" applyFont="1" applyBorder="1" applyAlignment="1">
      <alignment horizontal="center" vertical="top" wrapText="1"/>
    </xf>
    <xf numFmtId="166" fontId="11" fillId="0" borderId="29" xfId="44" applyNumberFormat="1" applyFont="1" applyBorder="1" applyAlignment="1">
      <alignment horizontal="center" vertical="top" wrapText="1"/>
    </xf>
    <xf numFmtId="166" fontId="11" fillId="0" borderId="34" xfId="44" applyNumberFormat="1" applyFont="1" applyBorder="1" applyAlignment="1">
      <alignment horizontal="center" vertical="top" wrapText="1"/>
    </xf>
    <xf numFmtId="0" fontId="11" fillId="34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76" xfId="0" applyFont="1" applyFill="1" applyBorder="1" applyAlignment="1">
      <alignment horizontal="center"/>
    </xf>
    <xf numFmtId="0" fontId="11" fillId="34" borderId="72" xfId="0" applyFont="1" applyFill="1" applyBorder="1" applyAlignment="1">
      <alignment horizontal="center"/>
    </xf>
    <xf numFmtId="178" fontId="11" fillId="0" borderId="48" xfId="44" applyNumberFormat="1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11" fillId="34" borderId="41" xfId="0" applyFont="1" applyFill="1" applyBorder="1" applyAlignment="1">
      <alignment horizontal="center" vertical="top" wrapText="1"/>
    </xf>
    <xf numFmtId="0" fontId="11" fillId="34" borderId="53" xfId="0" applyFont="1" applyFill="1" applyBorder="1" applyAlignment="1">
      <alignment horizontal="center" vertical="top" wrapText="1"/>
    </xf>
    <xf numFmtId="0" fontId="11" fillId="34" borderId="5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3">
      <selection activeCell="J26" sqref="J26"/>
    </sheetView>
  </sheetViews>
  <sheetFormatPr defaultColWidth="9.140625" defaultRowHeight="12.75"/>
  <cols>
    <col min="1" max="1" width="10.57421875" style="64" customWidth="1"/>
    <col min="2" max="2" width="13.28125" style="64" customWidth="1"/>
    <col min="3" max="3" width="14.00390625" style="64" customWidth="1"/>
    <col min="4" max="4" width="12.140625" style="64" bestFit="1" customWidth="1"/>
    <col min="5" max="5" width="12.7109375" style="64" customWidth="1"/>
    <col min="6" max="6" width="17.7109375" style="64" customWidth="1"/>
    <col min="7" max="7" width="14.140625" style="64" customWidth="1"/>
    <col min="8" max="8" width="16.8515625" style="64" customWidth="1"/>
    <col min="9" max="9" width="14.421875" style="64" customWidth="1"/>
    <col min="10" max="10" width="14.57421875" style="64" customWidth="1"/>
    <col min="11" max="11" width="13.57421875" style="64" customWidth="1"/>
    <col min="12" max="12" width="17.28125" style="64" bestFit="1" customWidth="1"/>
    <col min="13" max="15" width="10.28125" style="64" customWidth="1"/>
    <col min="16" max="16" width="11.28125" style="64" bestFit="1" customWidth="1"/>
    <col min="17" max="18" width="9.140625" style="64" customWidth="1"/>
    <col min="19" max="19" width="12.8515625" style="64" bestFit="1" customWidth="1"/>
    <col min="20" max="16384" width="9.140625" style="64" customWidth="1"/>
  </cols>
  <sheetData>
    <row r="1" spans="1:11" ht="18.75">
      <c r="A1" s="71" t="s">
        <v>439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thickBot="1">
      <c r="A2" s="508" t="s">
        <v>466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27" customHeight="1">
      <c r="A3" s="520" t="s">
        <v>58</v>
      </c>
      <c r="B3" s="520" t="s">
        <v>59</v>
      </c>
      <c r="C3" s="520" t="s">
        <v>73</v>
      </c>
      <c r="D3" s="520" t="s">
        <v>74</v>
      </c>
      <c r="E3" s="520" t="s">
        <v>60</v>
      </c>
      <c r="F3" s="526" t="s">
        <v>61</v>
      </c>
      <c r="G3" s="526"/>
      <c r="H3" s="530" t="s">
        <v>72</v>
      </c>
      <c r="I3" s="532" t="s">
        <v>62</v>
      </c>
      <c r="J3" s="526" t="s">
        <v>63</v>
      </c>
      <c r="K3" s="528" t="s">
        <v>64</v>
      </c>
      <c r="L3" s="72"/>
    </row>
    <row r="4" spans="1:12" ht="15" customHeight="1">
      <c r="A4" s="521"/>
      <c r="B4" s="521"/>
      <c r="C4" s="521"/>
      <c r="D4" s="521"/>
      <c r="E4" s="521"/>
      <c r="F4" s="73" t="s">
        <v>65</v>
      </c>
      <c r="G4" s="73" t="s">
        <v>44</v>
      </c>
      <c r="H4" s="531"/>
      <c r="I4" s="533"/>
      <c r="J4" s="527"/>
      <c r="K4" s="529"/>
      <c r="L4" s="72"/>
    </row>
    <row r="5" spans="1:12" ht="21.75" customHeight="1">
      <c r="A5" s="74">
        <v>1</v>
      </c>
      <c r="B5" s="509" t="s">
        <v>54</v>
      </c>
      <c r="C5" s="509" t="s">
        <v>76</v>
      </c>
      <c r="D5" s="509" t="s">
        <v>438</v>
      </c>
      <c r="E5" s="510" t="s">
        <v>45</v>
      </c>
      <c r="F5" s="511">
        <v>385.2</v>
      </c>
      <c r="G5" s="510">
        <v>100</v>
      </c>
      <c r="H5" s="75">
        <v>307872</v>
      </c>
      <c r="I5" s="75">
        <v>77065</v>
      </c>
      <c r="J5" s="75">
        <v>303414</v>
      </c>
      <c r="K5" s="76">
        <f>H5-I5-J5</f>
        <v>-72607</v>
      </c>
      <c r="L5" s="441"/>
    </row>
    <row r="6" spans="1:16" ht="21.75" customHeight="1">
      <c r="A6" s="525">
        <v>2</v>
      </c>
      <c r="B6" s="522" t="s">
        <v>66</v>
      </c>
      <c r="C6" s="522" t="s">
        <v>77</v>
      </c>
      <c r="D6" s="522" t="s">
        <v>79</v>
      </c>
      <c r="E6" s="77" t="s">
        <v>66</v>
      </c>
      <c r="F6" s="78">
        <v>1243.23</v>
      </c>
      <c r="G6" s="78">
        <v>54.27624685666388</v>
      </c>
      <c r="H6" s="79">
        <v>161947.63679999998</v>
      </c>
      <c r="I6" s="79"/>
      <c r="J6" s="512">
        <f>119807+9526</f>
        <v>129333</v>
      </c>
      <c r="K6" s="80">
        <f>H6-I6-J6</f>
        <v>32614.63679999998</v>
      </c>
      <c r="L6" s="441"/>
      <c r="P6" s="67"/>
    </row>
    <row r="7" spans="1:16" ht="21.75" customHeight="1">
      <c r="A7" s="525"/>
      <c r="B7" s="522"/>
      <c r="C7" s="522"/>
      <c r="D7" s="522"/>
      <c r="E7" s="77" t="s">
        <v>67</v>
      </c>
      <c r="F7" s="78">
        <v>578.48</v>
      </c>
      <c r="G7" s="78">
        <v>25.254959485889916</v>
      </c>
      <c r="H7" s="79">
        <v>75334.89</v>
      </c>
      <c r="I7" s="79"/>
      <c r="J7" s="513">
        <f>63714+14374</f>
        <v>78088</v>
      </c>
      <c r="K7" s="80">
        <f>H7-I7-J7</f>
        <v>-2753.1100000000006</v>
      </c>
      <c r="L7" s="441"/>
      <c r="P7" s="67"/>
    </row>
    <row r="8" spans="1:16" ht="21.75" customHeight="1">
      <c r="A8" s="525"/>
      <c r="B8" s="522"/>
      <c r="C8" s="522"/>
      <c r="D8" s="522"/>
      <c r="E8" s="77" t="s">
        <v>49</v>
      </c>
      <c r="F8" s="78">
        <v>468.85</v>
      </c>
      <c r="G8" s="78">
        <v>20.468793657446216</v>
      </c>
      <c r="H8" s="79">
        <v>61073.4732</v>
      </c>
      <c r="I8" s="79"/>
      <c r="J8" s="513">
        <f>54835+6100</f>
        <v>60935</v>
      </c>
      <c r="K8" s="80">
        <f>H8-I8-J8</f>
        <v>138.47320000000036</v>
      </c>
      <c r="L8" s="441"/>
      <c r="P8" s="67"/>
    </row>
    <row r="9" spans="1:16" ht="21.75" customHeight="1">
      <c r="A9" s="525"/>
      <c r="B9" s="522"/>
      <c r="C9" s="522"/>
      <c r="D9" s="522"/>
      <c r="E9" s="81" t="s">
        <v>71</v>
      </c>
      <c r="F9" s="78"/>
      <c r="G9" s="78"/>
      <c r="H9" s="75">
        <f>SUM(H6:H8)</f>
        <v>298356</v>
      </c>
      <c r="I9" s="75">
        <f>SUM(I6:I8)</f>
        <v>0</v>
      </c>
      <c r="J9" s="75">
        <f>SUM(J6:J8)</f>
        <v>268356</v>
      </c>
      <c r="K9" s="75">
        <f>SUM(K6:K8)</f>
        <v>29999.999999999978</v>
      </c>
      <c r="L9" s="441"/>
      <c r="M9" s="65"/>
      <c r="P9" s="68"/>
    </row>
    <row r="10" spans="1:12" ht="21.75" customHeight="1">
      <c r="A10" s="525">
        <v>3</v>
      </c>
      <c r="B10" s="522" t="s">
        <v>50</v>
      </c>
      <c r="C10" s="522" t="s">
        <v>77</v>
      </c>
      <c r="D10" s="522" t="s">
        <v>78</v>
      </c>
      <c r="E10" s="77" t="s">
        <v>66</v>
      </c>
      <c r="F10" s="78">
        <v>44.88</v>
      </c>
      <c r="G10" s="78">
        <v>1.8318666427206975</v>
      </c>
      <c r="H10" s="79">
        <v>26767</v>
      </c>
      <c r="I10" s="79">
        <v>0</v>
      </c>
      <c r="J10" s="79">
        <v>26717</v>
      </c>
      <c r="K10" s="80">
        <f>H10-I10-J10</f>
        <v>50</v>
      </c>
      <c r="L10" s="441"/>
    </row>
    <row r="11" spans="1:12" ht="21.75" customHeight="1">
      <c r="A11" s="525"/>
      <c r="B11" s="522"/>
      <c r="C11" s="522"/>
      <c r="D11" s="522"/>
      <c r="E11" s="77" t="s">
        <v>50</v>
      </c>
      <c r="F11" s="78">
        <v>2405.08</v>
      </c>
      <c r="G11" s="78">
        <v>98.1681333572793</v>
      </c>
      <c r="H11" s="79">
        <v>112384</v>
      </c>
      <c r="I11" s="79">
        <v>0</v>
      </c>
      <c r="J11" s="79">
        <v>112434</v>
      </c>
      <c r="K11" s="80">
        <f>H11-I11-J11</f>
        <v>-50</v>
      </c>
      <c r="L11" s="441"/>
    </row>
    <row r="12" spans="1:13" ht="21.75" customHeight="1">
      <c r="A12" s="525"/>
      <c r="B12" s="522"/>
      <c r="C12" s="522"/>
      <c r="D12" s="522"/>
      <c r="E12" s="81" t="s">
        <v>71</v>
      </c>
      <c r="F12" s="78"/>
      <c r="G12" s="78"/>
      <c r="H12" s="75">
        <f>H10+H11</f>
        <v>139151</v>
      </c>
      <c r="I12" s="75">
        <f>SUM(I10:I11)</f>
        <v>0</v>
      </c>
      <c r="J12" s="75">
        <f>SUM(J10:J11)</f>
        <v>139151</v>
      </c>
      <c r="K12" s="75">
        <f>SUM(K10:K11)</f>
        <v>0</v>
      </c>
      <c r="L12" s="441"/>
      <c r="M12" s="65"/>
    </row>
    <row r="13" spans="1:15" ht="21.75" customHeight="1">
      <c r="A13" s="74">
        <v>4</v>
      </c>
      <c r="B13" s="82" t="s">
        <v>68</v>
      </c>
      <c r="C13" s="514">
        <v>34801</v>
      </c>
      <c r="D13" s="514">
        <v>42105</v>
      </c>
      <c r="E13" s="83" t="s">
        <v>70</v>
      </c>
      <c r="F13" s="515">
        <v>86.58</v>
      </c>
      <c r="G13" s="83">
        <v>100</v>
      </c>
      <c r="H13" s="75">
        <f>1357500+20000</f>
        <v>1377500</v>
      </c>
      <c r="I13" s="75">
        <v>1025687.4943554639</v>
      </c>
      <c r="J13" s="75">
        <f>331813+20000</f>
        <v>351813</v>
      </c>
      <c r="K13" s="76">
        <f>H13-I13-J13</f>
        <v>-0.49435546388849616</v>
      </c>
      <c r="L13" s="441"/>
      <c r="M13" s="69"/>
      <c r="N13" s="69"/>
      <c r="O13" s="69"/>
    </row>
    <row r="14" spans="1:15" ht="21.75" customHeight="1">
      <c r="A14" s="74">
        <v>5</v>
      </c>
      <c r="B14" s="507" t="s">
        <v>51</v>
      </c>
      <c r="C14" s="514">
        <v>35612</v>
      </c>
      <c r="D14" s="514">
        <v>42916</v>
      </c>
      <c r="E14" s="83" t="s">
        <v>45</v>
      </c>
      <c r="F14" s="516">
        <v>121.95</v>
      </c>
      <c r="G14" s="83">
        <v>100</v>
      </c>
      <c r="H14" s="75">
        <v>960201</v>
      </c>
      <c r="I14" s="75">
        <v>810576.5873140867</v>
      </c>
      <c r="J14" s="75">
        <v>149141</v>
      </c>
      <c r="K14" s="76">
        <f>H14-I14-J14</f>
        <v>483.4126859132666</v>
      </c>
      <c r="L14" s="441"/>
      <c r="M14" s="69"/>
      <c r="N14" s="69"/>
      <c r="O14" s="69"/>
    </row>
    <row r="15" spans="1:15" ht="21.75" customHeight="1">
      <c r="A15" s="74">
        <v>6</v>
      </c>
      <c r="B15" s="507" t="s">
        <v>52</v>
      </c>
      <c r="C15" s="514">
        <v>35886</v>
      </c>
      <c r="D15" s="514" t="s">
        <v>80</v>
      </c>
      <c r="E15" s="83" t="s">
        <v>46</v>
      </c>
      <c r="F15" s="516">
        <v>18.85</v>
      </c>
      <c r="G15" s="83">
        <v>100</v>
      </c>
      <c r="H15" s="75">
        <v>520000</v>
      </c>
      <c r="I15" s="75">
        <v>349407</v>
      </c>
      <c r="J15" s="75">
        <f>150595+13469</f>
        <v>164064</v>
      </c>
      <c r="K15" s="76">
        <f>H15-I15-J15</f>
        <v>6529</v>
      </c>
      <c r="L15" s="441"/>
      <c r="M15" s="69"/>
      <c r="N15" s="69"/>
      <c r="O15" s="69"/>
    </row>
    <row r="16" spans="1:12" ht="21.75" customHeight="1">
      <c r="A16" s="525">
        <v>7</v>
      </c>
      <c r="B16" s="522" t="s">
        <v>53</v>
      </c>
      <c r="C16" s="523" t="s">
        <v>81</v>
      </c>
      <c r="D16" s="523" t="s">
        <v>82</v>
      </c>
      <c r="E16" s="82" t="s">
        <v>46</v>
      </c>
      <c r="F16" s="517">
        <v>5.5</v>
      </c>
      <c r="G16" s="518">
        <v>25.773195876288664</v>
      </c>
      <c r="H16" s="79">
        <v>123696</v>
      </c>
      <c r="I16" s="79"/>
      <c r="J16" s="79">
        <v>80000</v>
      </c>
      <c r="K16" s="80">
        <f>H16-I16-J16</f>
        <v>43696</v>
      </c>
      <c r="L16" s="441"/>
    </row>
    <row r="17" spans="1:13" ht="21.75" customHeight="1">
      <c r="A17" s="525"/>
      <c r="B17" s="522"/>
      <c r="C17" s="523"/>
      <c r="D17" s="523"/>
      <c r="E17" s="82" t="s">
        <v>70</v>
      </c>
      <c r="F17" s="517">
        <v>15.84</v>
      </c>
      <c r="G17" s="518">
        <v>74.22680412371135</v>
      </c>
      <c r="H17" s="79">
        <v>356304</v>
      </c>
      <c r="I17" s="79">
        <v>321123</v>
      </c>
      <c r="J17" s="79">
        <v>78877</v>
      </c>
      <c r="K17" s="80">
        <f>H17-I17-J17</f>
        <v>-43696</v>
      </c>
      <c r="L17" s="441"/>
      <c r="M17" s="65"/>
    </row>
    <row r="18" spans="1:12" ht="21.75" customHeight="1">
      <c r="A18" s="525"/>
      <c r="B18" s="522"/>
      <c r="C18" s="523"/>
      <c r="D18" s="523"/>
      <c r="E18" s="81" t="s">
        <v>71</v>
      </c>
      <c r="F18" s="517"/>
      <c r="G18" s="518"/>
      <c r="H18" s="75">
        <f>SUM(H16:H17)</f>
        <v>480000</v>
      </c>
      <c r="I18" s="75">
        <f>SUM(I16:I17)</f>
        <v>321123</v>
      </c>
      <c r="J18" s="75">
        <f>SUM(J16:J17)</f>
        <v>158877</v>
      </c>
      <c r="K18" s="75">
        <f>SUM(K16:K17)</f>
        <v>0</v>
      </c>
      <c r="L18" s="441"/>
    </row>
    <row r="19" spans="1:12" ht="21.75" customHeight="1">
      <c r="A19" s="525">
        <v>8</v>
      </c>
      <c r="B19" s="522" t="s">
        <v>55</v>
      </c>
      <c r="C19" s="522" t="s">
        <v>75</v>
      </c>
      <c r="D19" s="524">
        <v>42679</v>
      </c>
      <c r="E19" s="82" t="s">
        <v>47</v>
      </c>
      <c r="F19" s="518">
        <v>24.65</v>
      </c>
      <c r="G19" s="518">
        <v>1.15</v>
      </c>
      <c r="H19" s="79">
        <v>4842</v>
      </c>
      <c r="I19" s="79">
        <v>0</v>
      </c>
      <c r="J19" s="79">
        <v>4841.5575</v>
      </c>
      <c r="K19" s="80">
        <f>H19-I19-J19</f>
        <v>0.44250000000010914</v>
      </c>
      <c r="L19" s="441"/>
    </row>
    <row r="20" spans="1:12" ht="21.75" customHeight="1">
      <c r="A20" s="525"/>
      <c r="B20" s="522"/>
      <c r="C20" s="522"/>
      <c r="D20" s="522"/>
      <c r="E20" s="82" t="s">
        <v>69</v>
      </c>
      <c r="F20" s="518">
        <v>2104.01</v>
      </c>
      <c r="G20" s="518">
        <v>97.85</v>
      </c>
      <c r="H20" s="79">
        <v>411953</v>
      </c>
      <c r="I20" s="79">
        <v>0</v>
      </c>
      <c r="J20" s="79">
        <v>411953</v>
      </c>
      <c r="K20" s="80">
        <f>H20-I20-J20</f>
        <v>0</v>
      </c>
      <c r="L20" s="441"/>
    </row>
    <row r="21" spans="1:12" ht="21.75" customHeight="1">
      <c r="A21" s="525"/>
      <c r="B21" s="522"/>
      <c r="C21" s="522"/>
      <c r="D21" s="522"/>
      <c r="E21" s="82" t="s">
        <v>418</v>
      </c>
      <c r="F21" s="518">
        <v>13.9</v>
      </c>
      <c r="G21" s="518">
        <v>0.65</v>
      </c>
      <c r="H21" s="79">
        <v>1474</v>
      </c>
      <c r="I21" s="79">
        <v>0</v>
      </c>
      <c r="J21" s="79">
        <v>1474</v>
      </c>
      <c r="K21" s="80">
        <f>H21-I21-J21</f>
        <v>0</v>
      </c>
      <c r="L21" s="441"/>
    </row>
    <row r="22" spans="1:19" ht="21.75" customHeight="1">
      <c r="A22" s="525"/>
      <c r="B22" s="522"/>
      <c r="C22" s="522"/>
      <c r="D22" s="522"/>
      <c r="E22" s="82" t="s">
        <v>48</v>
      </c>
      <c r="F22" s="518">
        <v>7.5</v>
      </c>
      <c r="G22" s="518">
        <v>0.35</v>
      </c>
      <c r="H22" s="79">
        <v>2737</v>
      </c>
      <c r="I22" s="79">
        <v>0</v>
      </c>
      <c r="J22" s="79">
        <v>2737</v>
      </c>
      <c r="K22" s="80">
        <f>H22-I22-J22</f>
        <v>0</v>
      </c>
      <c r="L22" s="441"/>
      <c r="M22" s="69"/>
      <c r="N22" s="69"/>
      <c r="O22" s="69"/>
      <c r="S22" s="68"/>
    </row>
    <row r="23" spans="1:19" ht="21.75" customHeight="1">
      <c r="A23" s="525"/>
      <c r="B23" s="522"/>
      <c r="C23" s="522"/>
      <c r="D23" s="522"/>
      <c r="E23" s="81" t="s">
        <v>71</v>
      </c>
      <c r="F23" s="82"/>
      <c r="G23" s="82"/>
      <c r="H23" s="76">
        <f>SUM(H19:H22)</f>
        <v>421006</v>
      </c>
      <c r="I23" s="76">
        <f>SUM(I19:I22)</f>
        <v>0</v>
      </c>
      <c r="J23" s="76">
        <f>SUM(J19:J22)</f>
        <v>421005.5575</v>
      </c>
      <c r="K23" s="76">
        <f>SUM(K19:K22)</f>
        <v>0.44250000000010914</v>
      </c>
      <c r="L23" s="441"/>
      <c r="M23" s="69"/>
      <c r="N23" s="69"/>
      <c r="O23" s="69"/>
      <c r="S23" s="68"/>
    </row>
    <row r="24" spans="1:19" ht="21.75" customHeight="1">
      <c r="A24" s="84"/>
      <c r="B24" s="82"/>
      <c r="C24" s="82"/>
      <c r="D24" s="82"/>
      <c r="E24" s="83" t="s">
        <v>57</v>
      </c>
      <c r="F24" s="82"/>
      <c r="G24" s="82"/>
      <c r="H24" s="76">
        <f>H23+H18+H15+H14+H13+H12+H9+H5</f>
        <v>4504086</v>
      </c>
      <c r="I24" s="76">
        <f>I23+I18+I15+I14+I13+I12+I9+I5</f>
        <v>2583859.0816695504</v>
      </c>
      <c r="J24" s="76">
        <f>J23+J18+J15+J14+J13+J12+J9+J5</f>
        <v>1955821.5575</v>
      </c>
      <c r="K24" s="76">
        <f>K18+K15+K14+K13+K12+K9+K5+K23+1</f>
        <v>-35593.639169550646</v>
      </c>
      <c r="L24" s="441"/>
      <c r="S24" s="66"/>
    </row>
    <row r="25" spans="1:11" ht="43.5" customHeight="1">
      <c r="A25" s="519"/>
      <c r="B25" s="519"/>
      <c r="C25" s="519"/>
      <c r="D25" s="519"/>
      <c r="E25" s="519"/>
      <c r="F25" s="519"/>
      <c r="G25" s="519"/>
      <c r="H25" s="519"/>
      <c r="I25" s="519"/>
      <c r="J25" s="519"/>
      <c r="K25" s="519"/>
    </row>
    <row r="26" spans="3:15" ht="12.75">
      <c r="C26" s="70"/>
      <c r="I26" s="65"/>
      <c r="L26" s="65"/>
      <c r="M26" s="65"/>
      <c r="N26" s="65"/>
      <c r="O26" s="65"/>
    </row>
  </sheetData>
  <sheetProtection/>
  <mergeCells count="27">
    <mergeCell ref="J3:J4"/>
    <mergeCell ref="K3:K4"/>
    <mergeCell ref="A3:A4"/>
    <mergeCell ref="B3:B4"/>
    <mergeCell ref="E3:E4"/>
    <mergeCell ref="F3:G3"/>
    <mergeCell ref="H3:H4"/>
    <mergeCell ref="I3:I4"/>
    <mergeCell ref="D19:D23"/>
    <mergeCell ref="A6:A9"/>
    <mergeCell ref="B6:B9"/>
    <mergeCell ref="B16:B18"/>
    <mergeCell ref="B10:B12"/>
    <mergeCell ref="A10:A12"/>
    <mergeCell ref="A16:A18"/>
    <mergeCell ref="B19:B23"/>
    <mergeCell ref="A19:A23"/>
    <mergeCell ref="A25:K25"/>
    <mergeCell ref="C3:C4"/>
    <mergeCell ref="C6:C9"/>
    <mergeCell ref="C10:C12"/>
    <mergeCell ref="C16:C18"/>
    <mergeCell ref="C19:C23"/>
    <mergeCell ref="D3:D4"/>
    <mergeCell ref="D6:D9"/>
    <mergeCell ref="D10:D12"/>
    <mergeCell ref="D16:D18"/>
  </mergeCells>
  <printOptions horizontalCentered="1"/>
  <pageMargins left="0.7" right="0.25" top="0.53" bottom="0.32" header="0.3" footer="0.3"/>
  <pageSetup fitToHeight="0" fitToWidth="1" horizontalDpi="600" verticalDpi="600" orientation="landscape" paperSize="9" scale="90" r:id="rId1"/>
  <rowBreaks count="1" manualBreakCount="1">
    <brk id="2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zoomScalePageLayoutView="0" workbookViewId="0" topLeftCell="A1">
      <selection activeCell="H29" sqref="H29"/>
    </sheetView>
  </sheetViews>
  <sheetFormatPr defaultColWidth="9.140625" defaultRowHeight="12.75"/>
  <cols>
    <col min="3" max="3" width="12.8515625" style="0" bestFit="1" customWidth="1"/>
    <col min="4" max="4" width="9.28125" style="0" bestFit="1" customWidth="1"/>
    <col min="5" max="5" width="10.28125" style="0" bestFit="1" customWidth="1"/>
    <col min="7" max="7" width="10.28125" style="0" bestFit="1" customWidth="1"/>
    <col min="12" max="12" width="30.7109375" style="0" customWidth="1"/>
  </cols>
  <sheetData>
    <row r="1" spans="1:6" ht="12.75">
      <c r="A1" s="7" t="s">
        <v>11</v>
      </c>
      <c r="B1" s="8"/>
      <c r="C1" s="8"/>
      <c r="D1" s="8"/>
      <c r="E1" s="8"/>
      <c r="F1" s="9"/>
    </row>
    <row r="2" spans="1:6" ht="12.75">
      <c r="A2" s="10" t="s">
        <v>10</v>
      </c>
      <c r="B2" s="11"/>
      <c r="C2" s="11"/>
      <c r="D2" s="11"/>
      <c r="E2" s="11"/>
      <c r="F2" s="12"/>
    </row>
    <row r="3" ht="12.75">
      <c r="H3" s="6"/>
    </row>
    <row r="4" spans="1:12" ht="15.75">
      <c r="A4" s="599" t="s">
        <v>15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</row>
    <row r="6" ht="12.75">
      <c r="A6" t="s">
        <v>9</v>
      </c>
    </row>
    <row r="7" spans="3:7" ht="12.75">
      <c r="C7" t="s">
        <v>13</v>
      </c>
      <c r="E7" t="s">
        <v>12</v>
      </c>
      <c r="G7" t="s">
        <v>14</v>
      </c>
    </row>
    <row r="8" spans="1:7" ht="12.75">
      <c r="A8" t="s">
        <v>6</v>
      </c>
      <c r="C8" s="2" t="e">
        <f>+#REF!+#REF!+#REF!+#REF!+#REF!+#REF!+#REF!+#REF!+#REF!+#REF!+#REF!+#REF!+#REF!+#REF!+#REF!+#REF!+#REF!</f>
        <v>#REF!</v>
      </c>
      <c r="D8" s="2"/>
      <c r="E8" s="2">
        <v>3190149</v>
      </c>
      <c r="F8" s="2"/>
      <c r="G8" s="2" t="e">
        <f>+C8-E8</f>
        <v>#REF!</v>
      </c>
    </row>
    <row r="10" spans="1:7" ht="12.75">
      <c r="A10" t="s">
        <v>7</v>
      </c>
      <c r="C10" s="2" t="e">
        <f>+#REF!+#REF!+#REF!+#REF!+#REF!+#REF!+#REF!+#REF!+#REF!+#REF!+#REF!+#REF!+#REF!</f>
        <v>#REF!</v>
      </c>
      <c r="D10" s="2"/>
      <c r="E10" s="2">
        <v>1823155</v>
      </c>
      <c r="G10" s="2" t="e">
        <f>+C10-E10</f>
        <v>#REF!</v>
      </c>
    </row>
    <row r="12" spans="1:7" ht="12.75">
      <c r="A12" t="s">
        <v>8</v>
      </c>
      <c r="C12" s="2" t="e">
        <f>+C8-C10</f>
        <v>#REF!</v>
      </c>
      <c r="E12" s="4">
        <f>+E8-E10</f>
        <v>1366994</v>
      </c>
      <c r="G12" s="4" t="e">
        <f>+G8-G10</f>
        <v>#REF!</v>
      </c>
    </row>
    <row r="14" ht="12.75">
      <c r="C14" s="4"/>
    </row>
  </sheetData>
  <sheetProtection/>
  <mergeCells count="1">
    <mergeCell ref="A4:L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6"/>
  <sheetViews>
    <sheetView view="pageBreakPreview" zoomScale="60" zoomScalePageLayoutView="0" workbookViewId="0" topLeftCell="A1">
      <selection activeCell="A12" sqref="A12"/>
    </sheetView>
  </sheetViews>
  <sheetFormatPr defaultColWidth="9.140625" defaultRowHeight="12.75"/>
  <cols>
    <col min="1" max="1" width="28.7109375" style="0" bestFit="1" customWidth="1"/>
    <col min="2" max="2" width="14.8515625" style="0" bestFit="1" customWidth="1"/>
    <col min="3" max="3" width="14.57421875" style="0" bestFit="1" customWidth="1"/>
    <col min="4" max="4" width="11.8515625" style="0" bestFit="1" customWidth="1"/>
    <col min="5" max="6" width="12.57421875" style="0" bestFit="1" customWidth="1"/>
    <col min="7" max="7" width="61.421875" style="0" bestFit="1" customWidth="1"/>
    <col min="8" max="8" width="14.421875" style="0" hidden="1" customWidth="1"/>
    <col min="9" max="9" width="19.140625" style="0" bestFit="1" customWidth="1"/>
    <col min="10" max="10" width="14.8515625" style="0" customWidth="1"/>
    <col min="11" max="11" width="14.8515625" style="0" bestFit="1" customWidth="1"/>
  </cols>
  <sheetData>
    <row r="1" spans="1:11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5" t="s">
        <v>24</v>
      </c>
      <c r="B4" s="16" t="s">
        <v>20</v>
      </c>
      <c r="C4" s="16" t="s">
        <v>17</v>
      </c>
      <c r="D4" s="59"/>
      <c r="E4" s="60"/>
      <c r="F4" s="61"/>
      <c r="G4" s="16"/>
      <c r="H4" s="16"/>
      <c r="I4" s="16"/>
      <c r="J4" s="16"/>
      <c r="K4" s="16"/>
    </row>
    <row r="5" spans="1:11" ht="15.75">
      <c r="A5" s="17" t="s">
        <v>25</v>
      </c>
      <c r="B5" s="18" t="s">
        <v>21</v>
      </c>
      <c r="C5" s="18" t="s">
        <v>1</v>
      </c>
      <c r="D5" s="600" t="s">
        <v>1</v>
      </c>
      <c r="E5" s="601"/>
      <c r="F5" s="18" t="s">
        <v>41</v>
      </c>
      <c r="G5" s="18"/>
      <c r="H5" s="18"/>
      <c r="I5" s="18" t="s">
        <v>31</v>
      </c>
      <c r="J5" s="18" t="s">
        <v>34</v>
      </c>
      <c r="K5" s="18" t="s">
        <v>29</v>
      </c>
    </row>
    <row r="6" spans="1:11" ht="15.75">
      <c r="A6" s="17" t="s">
        <v>26</v>
      </c>
      <c r="B6" s="18" t="s">
        <v>22</v>
      </c>
      <c r="C6" s="18" t="s">
        <v>18</v>
      </c>
      <c r="D6" s="19"/>
      <c r="E6" s="20"/>
      <c r="F6" s="21" t="s">
        <v>28</v>
      </c>
      <c r="G6" s="18" t="s">
        <v>42</v>
      </c>
      <c r="H6" s="18" t="s">
        <v>30</v>
      </c>
      <c r="I6" s="18" t="s">
        <v>32</v>
      </c>
      <c r="J6" s="18" t="s">
        <v>35</v>
      </c>
      <c r="K6" s="18" t="s">
        <v>16</v>
      </c>
    </row>
    <row r="7" spans="1:11" ht="48" thickBot="1">
      <c r="A7" s="22" t="s">
        <v>27</v>
      </c>
      <c r="B7" s="23" t="s">
        <v>23</v>
      </c>
      <c r="C7" s="23" t="s">
        <v>19</v>
      </c>
      <c r="D7" s="24" t="s">
        <v>2</v>
      </c>
      <c r="E7" s="25" t="s">
        <v>0</v>
      </c>
      <c r="F7" s="26" t="s">
        <v>0</v>
      </c>
      <c r="G7" s="23"/>
      <c r="H7" s="23" t="s">
        <v>37</v>
      </c>
      <c r="I7" s="31" t="s">
        <v>33</v>
      </c>
      <c r="J7" s="31" t="s">
        <v>36</v>
      </c>
      <c r="K7" s="23"/>
    </row>
    <row r="8" spans="1:11" ht="15.7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/>
      <c r="I8" s="33"/>
      <c r="J8" s="33"/>
      <c r="K8" s="34">
        <v>8</v>
      </c>
    </row>
    <row r="9" spans="1:11" ht="15.75">
      <c r="A9" s="48"/>
      <c r="B9" s="49"/>
      <c r="C9" s="50"/>
      <c r="D9" s="50"/>
      <c r="E9" s="50"/>
      <c r="F9" s="50"/>
      <c r="G9" s="51"/>
      <c r="H9" s="51"/>
      <c r="I9" s="51"/>
      <c r="J9" s="51"/>
      <c r="K9" s="52"/>
    </row>
    <row r="10" spans="1:11" s="13" customFormat="1" ht="19.5" customHeight="1" thickBot="1">
      <c r="A10" s="47" t="s">
        <v>39</v>
      </c>
      <c r="B10" s="62" t="s">
        <v>43</v>
      </c>
      <c r="C10" s="38">
        <v>20000</v>
      </c>
      <c r="D10" s="39">
        <v>2003</v>
      </c>
      <c r="E10" s="38">
        <v>10000</v>
      </c>
      <c r="F10" s="38">
        <v>0</v>
      </c>
      <c r="G10" s="40"/>
      <c r="H10" s="41"/>
      <c r="I10" s="41"/>
      <c r="J10" s="41"/>
      <c r="K10" s="53">
        <f>+E10-F10</f>
        <v>10000</v>
      </c>
    </row>
    <row r="11" spans="1:11" s="14" customFormat="1" ht="19.5" customHeight="1" thickBot="1">
      <c r="A11" s="58" t="s">
        <v>4</v>
      </c>
      <c r="B11" s="63"/>
      <c r="C11" s="38">
        <v>20000</v>
      </c>
      <c r="D11" s="43">
        <v>2004</v>
      </c>
      <c r="E11" s="42">
        <v>20247</v>
      </c>
      <c r="F11" s="42">
        <v>0</v>
      </c>
      <c r="G11" s="44"/>
      <c r="H11" s="45"/>
      <c r="I11" s="45"/>
      <c r="J11" s="45"/>
      <c r="K11" s="54">
        <f>+E11-F11</f>
        <v>20247</v>
      </c>
    </row>
    <row r="12" spans="1:11" s="14" customFormat="1" ht="19.5" customHeight="1" thickBot="1">
      <c r="A12" s="35"/>
      <c r="B12" s="63"/>
      <c r="C12" s="38">
        <v>20000</v>
      </c>
      <c r="D12" s="43">
        <v>2005</v>
      </c>
      <c r="E12" s="42">
        <v>20000</v>
      </c>
      <c r="F12" s="42">
        <v>0</v>
      </c>
      <c r="G12" s="44"/>
      <c r="H12" s="45"/>
      <c r="I12" s="45"/>
      <c r="J12" s="45"/>
      <c r="K12" s="54">
        <f>+E12-F12</f>
        <v>20000</v>
      </c>
    </row>
    <row r="13" spans="1:11" s="14" customFormat="1" ht="19.5" customHeight="1" thickBot="1">
      <c r="A13" s="35"/>
      <c r="B13" s="63"/>
      <c r="C13" s="38">
        <v>20000</v>
      </c>
      <c r="D13" s="43">
        <v>2006</v>
      </c>
      <c r="E13" s="42">
        <v>20000</v>
      </c>
      <c r="F13" s="42">
        <v>0</v>
      </c>
      <c r="G13" s="44"/>
      <c r="H13" s="45"/>
      <c r="I13" s="45"/>
      <c r="J13" s="45"/>
      <c r="K13" s="54">
        <f>+E13-F13</f>
        <v>20000</v>
      </c>
    </row>
    <row r="14" spans="1:11" s="14" customFormat="1" ht="32.25" thickBot="1">
      <c r="A14" s="35"/>
      <c r="B14" s="30"/>
      <c r="C14" s="27">
        <v>20000</v>
      </c>
      <c r="D14" s="28">
        <v>2007</v>
      </c>
      <c r="E14" s="29">
        <v>6411</v>
      </c>
      <c r="F14" s="29">
        <v>76658</v>
      </c>
      <c r="G14" s="56" t="s">
        <v>40</v>
      </c>
      <c r="H14" s="45"/>
      <c r="I14" s="45"/>
      <c r="J14" s="45"/>
      <c r="K14" s="54">
        <f>+E14-F14</f>
        <v>-70247</v>
      </c>
    </row>
    <row r="15" spans="1:11" ht="19.5" customHeight="1" thickBot="1">
      <c r="A15" s="46"/>
      <c r="B15" s="55"/>
      <c r="C15" s="55"/>
      <c r="D15" s="36" t="s">
        <v>5</v>
      </c>
      <c r="E15" s="37">
        <f>SUM(E10:E14)</f>
        <v>76658</v>
      </c>
      <c r="F15" s="37">
        <f>SUM(F10:F14)</f>
        <v>76658</v>
      </c>
      <c r="G15" s="37"/>
      <c r="H15" s="37"/>
      <c r="I15" s="37"/>
      <c r="J15" s="37"/>
      <c r="K15" s="57">
        <f>SUM(K10:K14)</f>
        <v>0</v>
      </c>
    </row>
    <row r="16" spans="1:11" ht="12.75">
      <c r="A16" s="1"/>
      <c r="B16" s="1"/>
      <c r="C16" s="1"/>
      <c r="D16" s="1"/>
      <c r="E16" s="1"/>
      <c r="F16" s="1"/>
      <c r="G16" s="3"/>
      <c r="H16" s="3"/>
      <c r="I16" s="3"/>
      <c r="J16" s="3"/>
      <c r="K16" s="5"/>
    </row>
  </sheetData>
  <sheetProtection/>
  <mergeCells count="3">
    <mergeCell ref="A1:K1"/>
    <mergeCell ref="A2:K2"/>
    <mergeCell ref="D5:E5"/>
  </mergeCells>
  <printOptions horizontalCentered="1"/>
  <pageMargins left="0" right="0" top="1" bottom="0.5" header="0.5" footer="0.5"/>
  <pageSetup fitToHeight="1" fitToWidth="1" horizontalDpi="300" verticalDpi="300" orientation="landscape" paperSize="9" scale="71" r:id="rId1"/>
  <headerFooter alignWithMargins="0">
    <oddFooter>&amp;L&amp;8&amp;Z&amp;F&amp;D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53"/>
  <sheetViews>
    <sheetView tabSelected="1" view="pageBreakPreview" zoomScale="70" zoomScaleNormal="70" zoomScaleSheetLayoutView="70" zoomScalePageLayoutView="0" workbookViewId="0" topLeftCell="B1">
      <selection activeCell="G10" sqref="G10"/>
    </sheetView>
  </sheetViews>
  <sheetFormatPr defaultColWidth="9.140625" defaultRowHeight="12.75"/>
  <cols>
    <col min="1" max="1" width="28.7109375" style="0" bestFit="1" customWidth="1"/>
    <col min="2" max="2" width="22.140625" style="0" bestFit="1" customWidth="1"/>
    <col min="3" max="3" width="14.140625" style="0" bestFit="1" customWidth="1"/>
    <col min="4" max="4" width="15.8515625" style="0" customWidth="1"/>
    <col min="5" max="5" width="19.421875" style="0" customWidth="1"/>
    <col min="6" max="6" width="14.140625" style="0" bestFit="1" customWidth="1"/>
    <col min="7" max="7" width="14.8515625" style="0" bestFit="1" customWidth="1"/>
    <col min="8" max="8" width="14.140625" style="0" bestFit="1" customWidth="1"/>
    <col min="9" max="9" width="15.140625" style="0" customWidth="1"/>
    <col min="10" max="10" width="13.7109375" style="0" bestFit="1" customWidth="1"/>
    <col min="11" max="12" width="12.57421875" style="0" customWidth="1"/>
    <col min="13" max="13" width="79.7109375" style="0" customWidth="1"/>
    <col min="14" max="14" width="19.28125" style="0" hidden="1" customWidth="1"/>
    <col min="15" max="15" width="20.00390625" style="0" hidden="1" customWidth="1"/>
    <col min="16" max="16" width="21.28125" style="0" hidden="1" customWidth="1"/>
    <col min="17" max="17" width="14.140625" style="0" bestFit="1" customWidth="1"/>
  </cols>
  <sheetData>
    <row r="1" spans="1:17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</row>
    <row r="2" spans="1:17" s="1" customFormat="1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="1" customFormat="1" ht="13.5" thickBot="1"/>
    <row r="4" spans="1:17" s="1" customFormat="1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536" t="s">
        <v>86</v>
      </c>
      <c r="J4" s="88"/>
      <c r="K4" s="552" t="s">
        <v>63</v>
      </c>
      <c r="L4" s="552" t="s">
        <v>424</v>
      </c>
      <c r="M4" s="88"/>
      <c r="N4" s="88"/>
      <c r="O4" s="88"/>
      <c r="P4" s="88"/>
      <c r="Q4" s="88"/>
    </row>
    <row r="5" spans="1:17" s="1" customFormat="1" ht="15.75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545"/>
      <c r="J5" s="92" t="s">
        <v>41</v>
      </c>
      <c r="K5" s="553"/>
      <c r="L5" s="553"/>
      <c r="M5" s="92"/>
      <c r="N5" s="92"/>
      <c r="O5" s="92" t="s">
        <v>31</v>
      </c>
      <c r="P5" s="92" t="s">
        <v>34</v>
      </c>
      <c r="Q5" s="92" t="s">
        <v>29</v>
      </c>
    </row>
    <row r="6" spans="1:17" s="1" customFormat="1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93"/>
      <c r="H6" s="94"/>
      <c r="I6" s="545"/>
      <c r="J6" s="95" t="s">
        <v>28</v>
      </c>
      <c r="K6" s="553"/>
      <c r="L6" s="553"/>
      <c r="M6" s="92" t="s">
        <v>42</v>
      </c>
      <c r="N6" s="92" t="s">
        <v>30</v>
      </c>
      <c r="O6" s="92" t="s">
        <v>32</v>
      </c>
      <c r="P6" s="92" t="s">
        <v>35</v>
      </c>
      <c r="Q6" s="92" t="s">
        <v>16</v>
      </c>
    </row>
    <row r="7" spans="1:17" s="1" customFormat="1" ht="32.25" thickBot="1">
      <c r="A7" s="96" t="s">
        <v>27</v>
      </c>
      <c r="B7" s="97" t="s">
        <v>23</v>
      </c>
      <c r="C7" s="97" t="s">
        <v>19</v>
      </c>
      <c r="D7" s="538"/>
      <c r="E7" s="98" t="s">
        <v>87</v>
      </c>
      <c r="F7" s="99" t="s">
        <v>44</v>
      </c>
      <c r="G7" s="100" t="s">
        <v>2</v>
      </c>
      <c r="H7" s="101" t="s">
        <v>0</v>
      </c>
      <c r="I7" s="546"/>
      <c r="J7" s="102" t="s">
        <v>0</v>
      </c>
      <c r="K7" s="554"/>
      <c r="L7" s="554"/>
      <c r="M7" s="97"/>
      <c r="N7" s="97" t="s">
        <v>37</v>
      </c>
      <c r="O7" s="103" t="s">
        <v>33</v>
      </c>
      <c r="P7" s="103" t="s">
        <v>36</v>
      </c>
      <c r="Q7" s="97"/>
    </row>
    <row r="8" spans="1:18" s="109" customFormat="1" ht="15" customHeight="1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6">
        <v>8</v>
      </c>
      <c r="J8" s="106">
        <v>9</v>
      </c>
      <c r="K8" s="106"/>
      <c r="L8" s="106"/>
      <c r="M8" s="105" t="s">
        <v>88</v>
      </c>
      <c r="N8" s="106">
        <v>9</v>
      </c>
      <c r="O8" s="105">
        <v>12</v>
      </c>
      <c r="P8" s="105">
        <v>13</v>
      </c>
      <c r="Q8" s="107">
        <v>14</v>
      </c>
      <c r="R8" s="108"/>
    </row>
    <row r="9" spans="1:17" s="1" customFormat="1" ht="19.5" customHeight="1" thickBot="1">
      <c r="A9" s="110" t="s">
        <v>89</v>
      </c>
      <c r="B9" s="111" t="s">
        <v>90</v>
      </c>
      <c r="C9" s="112">
        <v>10000</v>
      </c>
      <c r="D9" s="112" t="s">
        <v>45</v>
      </c>
      <c r="E9" s="113">
        <v>385.2</v>
      </c>
      <c r="F9" s="114">
        <v>1</v>
      </c>
      <c r="G9" s="28">
        <v>2003</v>
      </c>
      <c r="H9" s="112">
        <v>1096</v>
      </c>
      <c r="I9" s="112">
        <v>1096</v>
      </c>
      <c r="J9" s="112">
        <v>0</v>
      </c>
      <c r="K9" s="112"/>
      <c r="L9" s="397"/>
      <c r="M9" s="115"/>
      <c r="N9" s="116"/>
      <c r="O9" s="549" t="s">
        <v>91</v>
      </c>
      <c r="P9" s="549" t="s">
        <v>92</v>
      </c>
      <c r="Q9" s="112">
        <f>+I9-J9-K9</f>
        <v>1096</v>
      </c>
    </row>
    <row r="10" spans="1:17" s="1" customFormat="1" ht="19.5" customHeight="1" thickBot="1">
      <c r="A10" s="117" t="s">
        <v>93</v>
      </c>
      <c r="B10" s="118" t="s">
        <v>94</v>
      </c>
      <c r="C10" s="119">
        <v>10000</v>
      </c>
      <c r="D10" s="119"/>
      <c r="E10" s="28"/>
      <c r="F10" s="112"/>
      <c r="G10" s="28">
        <v>2004</v>
      </c>
      <c r="H10" s="112">
        <v>10000</v>
      </c>
      <c r="I10" s="112">
        <v>10000</v>
      </c>
      <c r="J10" s="112">
        <v>0</v>
      </c>
      <c r="K10" s="112"/>
      <c r="L10" s="112"/>
      <c r="M10" s="115"/>
      <c r="N10" s="116"/>
      <c r="O10" s="550"/>
      <c r="P10" s="550"/>
      <c r="Q10" s="112">
        <f aca="true" t="shared" si="0" ref="Q10:Q35">+I10-J10-K10</f>
        <v>10000</v>
      </c>
    </row>
    <row r="11" spans="1:17" s="1" customFormat="1" ht="19.5" customHeight="1" thickBot="1">
      <c r="A11" s="120"/>
      <c r="B11" s="118"/>
      <c r="C11" s="112">
        <v>10000</v>
      </c>
      <c r="D11" s="112"/>
      <c r="E11" s="28"/>
      <c r="F11" s="112"/>
      <c r="G11" s="28">
        <v>2005</v>
      </c>
      <c r="H11" s="112">
        <v>10000</v>
      </c>
      <c r="I11" s="112">
        <v>10000</v>
      </c>
      <c r="J11" s="112">
        <v>0</v>
      </c>
      <c r="K11" s="112"/>
      <c r="L11" s="112"/>
      <c r="M11" s="115"/>
      <c r="N11" s="116"/>
      <c r="O11" s="550"/>
      <c r="P11" s="550"/>
      <c r="Q11" s="112">
        <f t="shared" si="0"/>
        <v>10000</v>
      </c>
    </row>
    <row r="12" spans="1:17" s="1" customFormat="1" ht="19.5" customHeight="1" thickBot="1">
      <c r="A12" s="120"/>
      <c r="B12" s="118"/>
      <c r="C12" s="112">
        <v>10000</v>
      </c>
      <c r="D12" s="112"/>
      <c r="E12" s="28"/>
      <c r="F12" s="112"/>
      <c r="G12" s="28">
        <v>2006</v>
      </c>
      <c r="H12" s="112">
        <v>10000</v>
      </c>
      <c r="I12" s="112">
        <v>10000</v>
      </c>
      <c r="J12" s="112">
        <v>0</v>
      </c>
      <c r="K12" s="112"/>
      <c r="L12" s="112"/>
      <c r="M12" s="115"/>
      <c r="N12" s="116"/>
      <c r="O12" s="550"/>
      <c r="P12" s="550"/>
      <c r="Q12" s="112">
        <f t="shared" si="0"/>
        <v>10000</v>
      </c>
    </row>
    <row r="13" spans="1:17" s="1" customFormat="1" ht="19.5" customHeight="1" thickBot="1">
      <c r="A13" s="120"/>
      <c r="B13" s="118"/>
      <c r="C13" s="112">
        <v>10000</v>
      </c>
      <c r="D13" s="112"/>
      <c r="E13" s="28"/>
      <c r="F13" s="112"/>
      <c r="G13" s="28">
        <v>2007</v>
      </c>
      <c r="H13" s="112">
        <v>10000</v>
      </c>
      <c r="I13" s="112">
        <v>10000</v>
      </c>
      <c r="J13" s="112">
        <v>0</v>
      </c>
      <c r="K13" s="112"/>
      <c r="L13" s="112"/>
      <c r="M13" s="115"/>
      <c r="N13" s="116"/>
      <c r="O13" s="550"/>
      <c r="P13" s="550"/>
      <c r="Q13" s="112">
        <f t="shared" si="0"/>
        <v>10000</v>
      </c>
    </row>
    <row r="14" spans="1:17" s="1" customFormat="1" ht="19.5" customHeight="1" thickBot="1">
      <c r="A14" s="120"/>
      <c r="B14" s="118"/>
      <c r="C14" s="112">
        <v>10000</v>
      </c>
      <c r="D14" s="112"/>
      <c r="E14" s="28"/>
      <c r="F14" s="112"/>
      <c r="G14" s="28">
        <v>2008</v>
      </c>
      <c r="H14" s="112">
        <v>10000</v>
      </c>
      <c r="I14" s="112">
        <v>10000</v>
      </c>
      <c r="J14" s="112">
        <v>16268.600963459408</v>
      </c>
      <c r="K14" s="112"/>
      <c r="L14" s="112"/>
      <c r="M14" s="121" t="s">
        <v>95</v>
      </c>
      <c r="N14" s="116"/>
      <c r="O14" s="550"/>
      <c r="P14" s="550"/>
      <c r="Q14" s="112">
        <f>+I14-J14-K14-1</f>
        <v>-6269.600963459408</v>
      </c>
    </row>
    <row r="15" spans="1:17" s="1" customFormat="1" ht="19.5" customHeight="1" thickBot="1">
      <c r="A15" s="120"/>
      <c r="B15" s="118"/>
      <c r="C15" s="112">
        <v>10000</v>
      </c>
      <c r="D15" s="112"/>
      <c r="E15" s="28"/>
      <c r="F15" s="112"/>
      <c r="G15" s="28">
        <v>2009</v>
      </c>
      <c r="H15" s="112">
        <v>10000</v>
      </c>
      <c r="I15" s="112">
        <v>10000</v>
      </c>
      <c r="J15" s="112">
        <v>1846.839941934441</v>
      </c>
      <c r="K15" s="127"/>
      <c r="L15" s="127"/>
      <c r="M15" s="122" t="s">
        <v>96</v>
      </c>
      <c r="N15" s="116"/>
      <c r="O15" s="550"/>
      <c r="P15" s="550"/>
      <c r="Q15" s="112">
        <f t="shared" si="0"/>
        <v>8153.1600580655595</v>
      </c>
    </row>
    <row r="16" spans="1:17" s="1" customFormat="1" ht="36.75" customHeight="1" thickBot="1">
      <c r="A16" s="120"/>
      <c r="B16" s="118"/>
      <c r="C16" s="118">
        <v>10000</v>
      </c>
      <c r="D16" s="118"/>
      <c r="E16" s="123"/>
      <c r="F16" s="118"/>
      <c r="G16" s="123">
        <v>2010</v>
      </c>
      <c r="H16" s="118">
        <v>10000</v>
      </c>
      <c r="I16" s="118">
        <v>10000</v>
      </c>
      <c r="J16" s="118">
        <f>6705+8901</f>
        <v>15606</v>
      </c>
      <c r="K16" s="118"/>
      <c r="L16" s="118"/>
      <c r="M16" s="124" t="s">
        <v>97</v>
      </c>
      <c r="N16" s="125"/>
      <c r="O16" s="550"/>
      <c r="P16" s="550"/>
      <c r="Q16" s="112">
        <f t="shared" si="0"/>
        <v>-5606</v>
      </c>
    </row>
    <row r="17" spans="1:17" s="1" customFormat="1" ht="19.5" customHeight="1" thickBot="1">
      <c r="A17" s="120"/>
      <c r="B17" s="118"/>
      <c r="C17" s="118"/>
      <c r="D17" s="118"/>
      <c r="E17" s="118"/>
      <c r="F17" s="118"/>
      <c r="G17" s="118"/>
      <c r="H17" s="118"/>
      <c r="I17" s="118"/>
      <c r="J17" s="118">
        <f>2133+2053</f>
        <v>4186</v>
      </c>
      <c r="K17" s="118"/>
      <c r="L17" s="118"/>
      <c r="M17" s="398" t="s">
        <v>98</v>
      </c>
      <c r="N17" s="125"/>
      <c r="O17" s="550"/>
      <c r="P17" s="550"/>
      <c r="Q17" s="112">
        <f t="shared" si="0"/>
        <v>-4186</v>
      </c>
    </row>
    <row r="18" spans="1:17" s="1" customFormat="1" ht="19.5" customHeight="1" thickBot="1">
      <c r="A18" s="120"/>
      <c r="B18" s="118"/>
      <c r="C18" s="118"/>
      <c r="D18" s="118"/>
      <c r="E18" s="118"/>
      <c r="F18" s="118"/>
      <c r="G18" s="118"/>
      <c r="H18" s="118"/>
      <c r="I18" s="118"/>
      <c r="J18" s="118">
        <v>3019</v>
      </c>
      <c r="K18" s="118"/>
      <c r="L18" s="118"/>
      <c r="M18" s="399" t="s">
        <v>99</v>
      </c>
      <c r="N18" s="125"/>
      <c r="O18" s="550"/>
      <c r="P18" s="550"/>
      <c r="Q18" s="112">
        <f t="shared" si="0"/>
        <v>-3019</v>
      </c>
    </row>
    <row r="19" spans="1:17" s="1" customFormat="1" ht="16.5" thickBot="1">
      <c r="A19" s="120"/>
      <c r="B19" s="118"/>
      <c r="C19" s="127"/>
      <c r="D19" s="127"/>
      <c r="E19" s="127"/>
      <c r="F19" s="127"/>
      <c r="G19" s="127"/>
      <c r="H19" s="127"/>
      <c r="I19" s="127"/>
      <c r="J19" s="127">
        <v>566</v>
      </c>
      <c r="K19" s="127"/>
      <c r="L19" s="127"/>
      <c r="M19" s="122" t="s">
        <v>100</v>
      </c>
      <c r="N19" s="128"/>
      <c r="O19" s="550"/>
      <c r="P19" s="550"/>
      <c r="Q19" s="112">
        <f t="shared" si="0"/>
        <v>-566</v>
      </c>
    </row>
    <row r="20" spans="1:17" s="1" customFormat="1" ht="36" customHeight="1" thickBot="1">
      <c r="A20" s="120"/>
      <c r="B20" s="118"/>
      <c r="C20" s="118">
        <v>10000</v>
      </c>
      <c r="D20" s="118"/>
      <c r="E20" s="123"/>
      <c r="F20" s="118"/>
      <c r="G20" s="123">
        <v>2011</v>
      </c>
      <c r="H20" s="118">
        <v>10000</v>
      </c>
      <c r="I20" s="118">
        <v>10000</v>
      </c>
      <c r="J20" s="118">
        <v>19613</v>
      </c>
      <c r="K20" s="118"/>
      <c r="L20" s="118"/>
      <c r="M20" s="124" t="s">
        <v>101</v>
      </c>
      <c r="N20" s="125"/>
      <c r="O20" s="550"/>
      <c r="P20" s="550"/>
      <c r="Q20" s="112">
        <f t="shared" si="0"/>
        <v>-9613</v>
      </c>
    </row>
    <row r="21" spans="1:17" s="1" customFormat="1" ht="32.25" thickBot="1">
      <c r="A21" s="120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400" t="s">
        <v>102</v>
      </c>
      <c r="N21" s="130"/>
      <c r="O21" s="550"/>
      <c r="P21" s="550"/>
      <c r="Q21" s="112">
        <f t="shared" si="0"/>
        <v>0</v>
      </c>
    </row>
    <row r="22" spans="1:17" s="1" customFormat="1" ht="19.5" customHeight="1" thickBot="1">
      <c r="A22" s="120"/>
      <c r="B22" s="118"/>
      <c r="C22" s="118"/>
      <c r="D22" s="118"/>
      <c r="E22" s="123"/>
      <c r="F22" s="118"/>
      <c r="G22" s="123"/>
      <c r="H22" s="118"/>
      <c r="I22" s="118"/>
      <c r="J22" s="118"/>
      <c r="K22" s="118"/>
      <c r="L22" s="118"/>
      <c r="M22" s="400" t="s">
        <v>103</v>
      </c>
      <c r="N22" s="130"/>
      <c r="O22" s="550"/>
      <c r="P22" s="550"/>
      <c r="Q22" s="112">
        <f t="shared" si="0"/>
        <v>0</v>
      </c>
    </row>
    <row r="23" spans="1:17" s="1" customFormat="1" ht="32.25" thickBot="1">
      <c r="A23" s="120"/>
      <c r="B23" s="118"/>
      <c r="C23" s="118"/>
      <c r="D23" s="118"/>
      <c r="E23" s="123"/>
      <c r="F23" s="118"/>
      <c r="G23" s="123"/>
      <c r="H23" s="118"/>
      <c r="I23" s="118"/>
      <c r="J23" s="118"/>
      <c r="K23" s="118"/>
      <c r="L23" s="118"/>
      <c r="M23" s="400" t="s">
        <v>104</v>
      </c>
      <c r="N23" s="130"/>
      <c r="O23" s="550"/>
      <c r="P23" s="550"/>
      <c r="Q23" s="112">
        <f t="shared" si="0"/>
        <v>0</v>
      </c>
    </row>
    <row r="24" spans="1:17" s="1" customFormat="1" ht="16.5" thickBot="1">
      <c r="A24" s="120"/>
      <c r="B24" s="118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2" t="s">
        <v>105</v>
      </c>
      <c r="N24" s="128"/>
      <c r="O24" s="550"/>
      <c r="P24" s="550"/>
      <c r="Q24" s="112">
        <f t="shared" si="0"/>
        <v>0</v>
      </c>
    </row>
    <row r="25" spans="1:17" s="1" customFormat="1" ht="48" thickBot="1">
      <c r="A25" s="120"/>
      <c r="B25" s="131"/>
      <c r="C25" s="132">
        <v>10000</v>
      </c>
      <c r="D25" s="132"/>
      <c r="E25" s="132"/>
      <c r="F25" s="133"/>
      <c r="G25" s="134" t="s">
        <v>106</v>
      </c>
      <c r="H25" s="133">
        <v>10000</v>
      </c>
      <c r="I25" s="133">
        <v>10000</v>
      </c>
      <c r="J25" s="133">
        <v>2502.907264523501</v>
      </c>
      <c r="K25" s="133"/>
      <c r="L25" s="133"/>
      <c r="M25" s="401" t="s">
        <v>107</v>
      </c>
      <c r="N25" s="135"/>
      <c r="O25" s="550"/>
      <c r="P25" s="550"/>
      <c r="Q25" s="112">
        <f t="shared" si="0"/>
        <v>7497.092735476499</v>
      </c>
    </row>
    <row r="26" spans="1:17" s="1" customFormat="1" ht="56.25" customHeight="1" thickBot="1">
      <c r="A26" s="120"/>
      <c r="B26" s="118"/>
      <c r="C26" s="118"/>
      <c r="D26" s="118"/>
      <c r="E26" s="118"/>
      <c r="F26" s="118"/>
      <c r="G26" s="118"/>
      <c r="H26" s="118"/>
      <c r="I26" s="118"/>
      <c r="J26" s="118">
        <v>2600.412443927067</v>
      </c>
      <c r="K26" s="118"/>
      <c r="L26" s="118"/>
      <c r="M26" s="402" t="s">
        <v>108</v>
      </c>
      <c r="N26" s="130"/>
      <c r="O26" s="550"/>
      <c r="P26" s="550"/>
      <c r="Q26" s="112">
        <f t="shared" si="0"/>
        <v>-2600.412443927067</v>
      </c>
    </row>
    <row r="27" spans="1:17" s="1" customFormat="1" ht="48" thickBot="1">
      <c r="A27" s="120"/>
      <c r="B27" s="118"/>
      <c r="C27" s="118"/>
      <c r="D27" s="118"/>
      <c r="E27" s="118"/>
      <c r="F27" s="118"/>
      <c r="G27" s="118"/>
      <c r="H27" s="118"/>
      <c r="I27" s="118"/>
      <c r="J27" s="118">
        <v>5490.469816404786</v>
      </c>
      <c r="K27" s="118"/>
      <c r="L27" s="118"/>
      <c r="M27" s="402" t="s">
        <v>109</v>
      </c>
      <c r="N27" s="130"/>
      <c r="O27" s="550"/>
      <c r="P27" s="550"/>
      <c r="Q27" s="112">
        <f t="shared" si="0"/>
        <v>-5490.469816404786</v>
      </c>
    </row>
    <row r="28" spans="1:17" s="1" customFormat="1" ht="51" customHeight="1" thickBot="1">
      <c r="A28" s="136"/>
      <c r="B28" s="127"/>
      <c r="C28" s="127"/>
      <c r="D28" s="127"/>
      <c r="E28" s="127"/>
      <c r="F28" s="127"/>
      <c r="G28" s="127"/>
      <c r="H28" s="127"/>
      <c r="I28" s="127"/>
      <c r="J28" s="127">
        <v>5365.52605360807</v>
      </c>
      <c r="K28" s="127"/>
      <c r="L28" s="127"/>
      <c r="M28" s="403" t="s">
        <v>110</v>
      </c>
      <c r="N28" s="137"/>
      <c r="O28" s="551"/>
      <c r="P28" s="551"/>
      <c r="Q28" s="112">
        <f t="shared" si="0"/>
        <v>-5365.52605360807</v>
      </c>
    </row>
    <row r="29" spans="1:17" s="1" customFormat="1" ht="16.5" thickBot="1">
      <c r="A29" s="120"/>
      <c r="B29" s="131"/>
      <c r="C29" s="138">
        <v>10000</v>
      </c>
      <c r="D29" s="138"/>
      <c r="E29" s="138"/>
      <c r="F29" s="118"/>
      <c r="G29" s="134" t="s">
        <v>111</v>
      </c>
      <c r="H29" s="118">
        <v>10000</v>
      </c>
      <c r="I29" s="118">
        <v>10000</v>
      </c>
      <c r="J29" s="118">
        <v>0</v>
      </c>
      <c r="K29" s="112">
        <v>24030</v>
      </c>
      <c r="L29" s="112"/>
      <c r="M29" s="404"/>
      <c r="N29" s="125"/>
      <c r="O29" s="125"/>
      <c r="P29" s="139"/>
      <c r="Q29" s="112">
        <f t="shared" si="0"/>
        <v>-14030</v>
      </c>
    </row>
    <row r="30" spans="1:17" s="1" customFormat="1" ht="16.5" thickBot="1">
      <c r="A30" s="120"/>
      <c r="B30" s="131"/>
      <c r="C30" s="133">
        <v>10000</v>
      </c>
      <c r="D30" s="132"/>
      <c r="E30" s="132"/>
      <c r="F30" s="133"/>
      <c r="G30" s="134" t="s">
        <v>112</v>
      </c>
      <c r="H30" s="133">
        <v>10000</v>
      </c>
      <c r="I30" s="133">
        <v>10000</v>
      </c>
      <c r="J30" s="133">
        <v>0</v>
      </c>
      <c r="K30" s="118"/>
      <c r="L30" s="133">
        <v>7231.94</v>
      </c>
      <c r="M30" s="402" t="s">
        <v>113</v>
      </c>
      <c r="N30" s="135"/>
      <c r="O30" s="135"/>
      <c r="P30" s="140"/>
      <c r="Q30" s="112">
        <f t="shared" si="0"/>
        <v>10000</v>
      </c>
    </row>
    <row r="31" spans="1:17" s="1" customFormat="1" ht="16.5" thickBot="1">
      <c r="A31" s="120"/>
      <c r="B31" s="141"/>
      <c r="C31" s="118"/>
      <c r="D31" s="138"/>
      <c r="E31" s="138"/>
      <c r="F31" s="118"/>
      <c r="G31" s="141"/>
      <c r="H31" s="118"/>
      <c r="I31" s="118"/>
      <c r="J31" s="118">
        <v>0</v>
      </c>
      <c r="K31" s="118"/>
      <c r="L31" s="118">
        <v>2179.21</v>
      </c>
      <c r="M31" s="402" t="s">
        <v>114</v>
      </c>
      <c r="N31" s="125"/>
      <c r="O31" s="125"/>
      <c r="P31" s="139"/>
      <c r="Q31" s="112">
        <f t="shared" si="0"/>
        <v>0</v>
      </c>
    </row>
    <row r="32" spans="1:17" s="1" customFormat="1" ht="16.5" thickBot="1">
      <c r="A32" s="120"/>
      <c r="B32" s="141"/>
      <c r="C32" s="118"/>
      <c r="D32" s="138"/>
      <c r="E32" s="138"/>
      <c r="F32" s="118"/>
      <c r="G32" s="141"/>
      <c r="H32" s="118"/>
      <c r="I32" s="118"/>
      <c r="J32" s="118">
        <v>0</v>
      </c>
      <c r="K32" s="118"/>
      <c r="L32" s="118">
        <v>7819.58</v>
      </c>
      <c r="M32" s="402" t="s">
        <v>115</v>
      </c>
      <c r="N32" s="125"/>
      <c r="O32" s="125"/>
      <c r="P32" s="139"/>
      <c r="Q32" s="112">
        <f t="shared" si="0"/>
        <v>0</v>
      </c>
    </row>
    <row r="33" spans="1:17" s="1" customFormat="1" ht="16.5" thickBot="1">
      <c r="A33" s="120"/>
      <c r="B33" s="141"/>
      <c r="C33" s="118"/>
      <c r="D33" s="138"/>
      <c r="E33" s="138"/>
      <c r="F33" s="118"/>
      <c r="G33" s="142"/>
      <c r="H33" s="118"/>
      <c r="I33" s="118"/>
      <c r="J33" s="118">
        <v>0</v>
      </c>
      <c r="K33" s="118">
        <v>10000</v>
      </c>
      <c r="L33" s="118"/>
      <c r="M33" s="404"/>
      <c r="N33" s="125"/>
      <c r="O33" s="128"/>
      <c r="P33" s="143"/>
      <c r="Q33" s="112">
        <f t="shared" si="0"/>
        <v>-10000</v>
      </c>
    </row>
    <row r="34" spans="1:17" s="1" customFormat="1" ht="79.5" thickBot="1">
      <c r="A34" s="120"/>
      <c r="B34" s="141"/>
      <c r="C34" s="133">
        <v>10000</v>
      </c>
      <c r="D34" s="132"/>
      <c r="E34" s="132"/>
      <c r="F34" s="133"/>
      <c r="G34" s="134" t="s">
        <v>116</v>
      </c>
      <c r="H34" s="133">
        <v>10000</v>
      </c>
      <c r="I34" s="133">
        <v>10000</v>
      </c>
      <c r="J34" s="133">
        <v>0</v>
      </c>
      <c r="K34" s="133">
        <v>10000</v>
      </c>
      <c r="L34" s="133">
        <v>8514</v>
      </c>
      <c r="M34" s="401" t="s">
        <v>117</v>
      </c>
      <c r="N34" s="135"/>
      <c r="O34" s="135"/>
      <c r="P34" s="140"/>
      <c r="Q34" s="112">
        <f t="shared" si="0"/>
        <v>0</v>
      </c>
    </row>
    <row r="35" spans="1:17" s="1" customFormat="1" ht="16.5" thickBot="1">
      <c r="A35" s="120"/>
      <c r="B35" s="141"/>
      <c r="C35" s="133">
        <v>30000</v>
      </c>
      <c r="D35" s="132"/>
      <c r="E35" s="132"/>
      <c r="F35" s="133"/>
      <c r="G35" s="134" t="s">
        <v>118</v>
      </c>
      <c r="H35" s="133">
        <v>96776</v>
      </c>
      <c r="I35" s="133">
        <v>96776</v>
      </c>
      <c r="J35" s="133">
        <v>0</v>
      </c>
      <c r="K35" s="112">
        <v>96776</v>
      </c>
      <c r="L35" s="112"/>
      <c r="M35" s="401"/>
      <c r="N35" s="135"/>
      <c r="O35" s="135"/>
      <c r="P35" s="140"/>
      <c r="Q35" s="112">
        <f t="shared" si="0"/>
        <v>0</v>
      </c>
    </row>
    <row r="36" spans="1:17" s="1" customFormat="1" ht="126.75" thickBot="1">
      <c r="A36" s="120"/>
      <c r="B36" s="141"/>
      <c r="C36" s="133">
        <v>30000</v>
      </c>
      <c r="D36" s="132"/>
      <c r="E36" s="132"/>
      <c r="F36" s="133"/>
      <c r="G36" s="134" t="s">
        <v>431</v>
      </c>
      <c r="H36" s="133">
        <v>30000</v>
      </c>
      <c r="I36" s="133">
        <v>30000</v>
      </c>
      <c r="J36" s="133"/>
      <c r="K36" s="112">
        <v>30000</v>
      </c>
      <c r="L36" s="112">
        <v>25165</v>
      </c>
      <c r="M36" s="401" t="s">
        <v>461</v>
      </c>
      <c r="N36" s="135"/>
      <c r="O36" s="135"/>
      <c r="P36" s="140"/>
      <c r="Q36" s="112">
        <f>+I36-J36-K36</f>
        <v>0</v>
      </c>
    </row>
    <row r="37" spans="1:17" s="1" customFormat="1" ht="16.5" thickBot="1">
      <c r="A37" s="120"/>
      <c r="B37" s="141"/>
      <c r="C37" s="133">
        <v>30000</v>
      </c>
      <c r="D37" s="132"/>
      <c r="E37" s="132"/>
      <c r="F37" s="133"/>
      <c r="G37" s="134">
        <v>2018</v>
      </c>
      <c r="H37" s="133">
        <v>30000</v>
      </c>
      <c r="I37" s="133">
        <v>30000</v>
      </c>
      <c r="J37" s="133">
        <v>0</v>
      </c>
      <c r="K37" s="112">
        <v>30000</v>
      </c>
      <c r="L37" s="112"/>
      <c r="M37" s="401"/>
      <c r="N37" s="135"/>
      <c r="O37" s="135"/>
      <c r="P37" s="140"/>
      <c r="Q37" s="112">
        <f>+I37-J37-K37</f>
        <v>0</v>
      </c>
    </row>
    <row r="38" spans="1:17" s="1" customFormat="1" ht="16.5" thickBot="1">
      <c r="A38" s="120"/>
      <c r="B38" s="141"/>
      <c r="C38" s="133">
        <v>30000</v>
      </c>
      <c r="D38" s="132"/>
      <c r="E38" s="132"/>
      <c r="F38" s="133"/>
      <c r="G38" s="134">
        <v>2019</v>
      </c>
      <c r="H38" s="133">
        <v>30000</v>
      </c>
      <c r="I38" s="133">
        <v>30000</v>
      </c>
      <c r="J38" s="133"/>
      <c r="K38" s="112">
        <v>102608</v>
      </c>
      <c r="L38" s="112"/>
      <c r="M38" s="401"/>
      <c r="N38" s="125"/>
      <c r="O38" s="125"/>
      <c r="P38" s="139"/>
      <c r="Q38" s="112">
        <f>+I38-J38-K38</f>
        <v>-72608</v>
      </c>
    </row>
    <row r="39" spans="1:18" ht="19.5" customHeight="1" thickBot="1">
      <c r="A39" s="144"/>
      <c r="B39" s="145" t="s">
        <v>5</v>
      </c>
      <c r="C39" s="146">
        <f>SUM(C9:C30)</f>
        <v>120000</v>
      </c>
      <c r="D39" s="147"/>
      <c r="E39" s="146">
        <f>SUM(E9:E30)</f>
        <v>385.2</v>
      </c>
      <c r="F39" s="146"/>
      <c r="G39" s="145"/>
      <c r="H39" s="146">
        <f>SUM(H9:H38)</f>
        <v>307872</v>
      </c>
      <c r="I39" s="146">
        <f>SUM(I9:I38)</f>
        <v>307872</v>
      </c>
      <c r="J39" s="146">
        <f>SUM(J9:J38)</f>
        <v>77064.75648385727</v>
      </c>
      <c r="K39" s="146">
        <f>SUM(K9:K38)</f>
        <v>303414</v>
      </c>
      <c r="L39" s="146">
        <f>SUM(L9:L38)</f>
        <v>50909.729999999996</v>
      </c>
      <c r="M39" s="271"/>
      <c r="N39" s="148"/>
      <c r="O39" s="148"/>
      <c r="P39" s="148"/>
      <c r="Q39" s="146">
        <f>SUM(Q9:Q38)</f>
        <v>-72607.75648385727</v>
      </c>
      <c r="R39" s="4"/>
    </row>
    <row r="40" spans="1:18" ht="19.5" customHeight="1" thickBot="1">
      <c r="A40" s="149"/>
      <c r="B40" s="149"/>
      <c r="C40" s="149"/>
      <c r="D40" s="149"/>
      <c r="E40" s="150"/>
      <c r="F40" s="151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4"/>
    </row>
    <row r="41" spans="1:16" s="154" customFormat="1" ht="50.25" customHeight="1">
      <c r="A41" s="153"/>
      <c r="B41" s="153"/>
      <c r="C41" s="153"/>
      <c r="D41" s="555" t="s">
        <v>60</v>
      </c>
      <c r="E41" s="557" t="s">
        <v>61</v>
      </c>
      <c r="F41" s="557"/>
      <c r="G41" s="443" t="s">
        <v>119</v>
      </c>
      <c r="H41" s="444" t="s">
        <v>62</v>
      </c>
      <c r="I41" s="442" t="s">
        <v>63</v>
      </c>
      <c r="J41" s="451" t="s">
        <v>424</v>
      </c>
      <c r="K41" s="446" t="s">
        <v>64</v>
      </c>
      <c r="L41" s="153"/>
      <c r="M41" s="153"/>
      <c r="N41" s="153"/>
      <c r="O41" s="153"/>
      <c r="P41" s="153"/>
    </row>
    <row r="42" spans="1:15" s="157" customFormat="1" ht="15">
      <c r="A42" s="155"/>
      <c r="B42" s="155"/>
      <c r="C42" s="155"/>
      <c r="D42" s="556"/>
      <c r="E42" s="558"/>
      <c r="F42" s="558"/>
      <c r="G42" s="448" t="s">
        <v>442</v>
      </c>
      <c r="H42" s="449" t="s">
        <v>443</v>
      </c>
      <c r="I42" s="447" t="s">
        <v>444</v>
      </c>
      <c r="J42" s="452" t="s">
        <v>445</v>
      </c>
      <c r="K42" s="450" t="s">
        <v>446</v>
      </c>
      <c r="L42" s="156"/>
      <c r="M42" s="156"/>
      <c r="N42" s="156"/>
      <c r="O42" s="155"/>
    </row>
    <row r="43" spans="1:16" s="157" customFormat="1" ht="43.5" customHeight="1">
      <c r="A43" s="153"/>
      <c r="B43" s="153"/>
      <c r="C43" s="153"/>
      <c r="D43" s="472" t="s">
        <v>45</v>
      </c>
      <c r="E43" s="474">
        <v>385.2</v>
      </c>
      <c r="F43" s="467">
        <v>1</v>
      </c>
      <c r="G43" s="472">
        <f>277872+30000</f>
        <v>307872</v>
      </c>
      <c r="H43" s="473">
        <v>77065</v>
      </c>
      <c r="I43" s="472">
        <f>200806+102608</f>
        <v>303414</v>
      </c>
      <c r="J43" s="472">
        <v>50910</v>
      </c>
      <c r="K43" s="475">
        <f>G43-H43-I43</f>
        <v>-72607</v>
      </c>
      <c r="L43" s="153"/>
      <c r="M43" s="153"/>
      <c r="N43" s="153"/>
      <c r="O43" s="153"/>
      <c r="P43" s="153"/>
    </row>
    <row r="44" spans="13:17" s="157" customFormat="1" ht="12.75">
      <c r="M44" s="158"/>
      <c r="N44" s="158"/>
      <c r="O44" s="158"/>
      <c r="P44" s="158"/>
      <c r="Q44" s="159"/>
    </row>
    <row r="45" spans="1:18" s="154" customFormat="1" ht="30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</row>
    <row r="46" spans="13:16" ht="12.75">
      <c r="M46" s="160"/>
      <c r="N46" s="160"/>
      <c r="O46" s="160"/>
      <c r="P46" s="160"/>
    </row>
    <row r="47" spans="13:16" ht="12.75">
      <c r="M47" s="160"/>
      <c r="N47" s="160"/>
      <c r="O47" s="160"/>
      <c r="P47" s="160"/>
    </row>
    <row r="48" spans="13:16" ht="12.75">
      <c r="M48" s="160"/>
      <c r="N48" s="160"/>
      <c r="O48" s="160"/>
      <c r="P48" s="160"/>
    </row>
    <row r="49" spans="13:16" ht="12.75">
      <c r="M49" s="160"/>
      <c r="N49" s="160"/>
      <c r="O49" s="160"/>
      <c r="P49" s="160"/>
    </row>
    <row r="50" spans="13:16" ht="12.75">
      <c r="M50" s="160"/>
      <c r="N50" s="160"/>
      <c r="O50" s="160"/>
      <c r="P50" s="160"/>
    </row>
    <row r="51" spans="13:16" ht="12.75">
      <c r="M51" s="160"/>
      <c r="N51" s="160"/>
      <c r="O51" s="160"/>
      <c r="P51" s="160"/>
    </row>
    <row r="52" spans="13:16" ht="12.75">
      <c r="M52" s="160"/>
      <c r="N52" s="160"/>
      <c r="O52" s="160"/>
      <c r="P52" s="160"/>
    </row>
    <row r="53" spans="13:16" ht="12.75">
      <c r="M53" s="160"/>
      <c r="N53" s="160"/>
      <c r="O53" s="160"/>
      <c r="P53" s="160"/>
    </row>
  </sheetData>
  <sheetProtection/>
  <mergeCells count="12">
    <mergeCell ref="O9:O28"/>
    <mergeCell ref="P9:P28"/>
    <mergeCell ref="K4:K7"/>
    <mergeCell ref="L4:L7"/>
    <mergeCell ref="D41:D42"/>
    <mergeCell ref="E41:F42"/>
    <mergeCell ref="A1:Q1"/>
    <mergeCell ref="A2:Q2"/>
    <mergeCell ref="D4:D7"/>
    <mergeCell ref="E4:F6"/>
    <mergeCell ref="I4:I7"/>
    <mergeCell ref="G5:H5"/>
  </mergeCells>
  <printOptions horizontalCentered="1"/>
  <pageMargins left="0.46" right="0.2" top="0.81" bottom="0.5" header="0.5" footer="0.5"/>
  <pageSetup fitToHeight="0" fitToWidth="1" horizontalDpi="600" verticalDpi="600" orientation="landscape" paperSize="9" scale="49" r:id="rId1"/>
  <headerFooter alignWithMargins="0">
    <oddFooter>&amp;L&amp;8&amp;Z&amp;F&amp;D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36"/>
  <sheetViews>
    <sheetView view="pageBreakPreview" zoomScale="80" zoomScaleSheetLayoutView="80" zoomScalePageLayoutView="0" workbookViewId="0" topLeftCell="D22">
      <selection activeCell="J33" sqref="J33:J35"/>
    </sheetView>
  </sheetViews>
  <sheetFormatPr defaultColWidth="9.140625" defaultRowHeight="12.75"/>
  <cols>
    <col min="1" max="1" width="25.7109375" style="0" customWidth="1"/>
    <col min="2" max="2" width="15.421875" style="0" bestFit="1" customWidth="1"/>
    <col min="3" max="4" width="15.00390625" style="0" bestFit="1" customWidth="1"/>
    <col min="5" max="5" width="13.421875" style="0" customWidth="1"/>
    <col min="6" max="6" width="13.57421875" style="0" bestFit="1" customWidth="1"/>
    <col min="7" max="7" width="13.8515625" style="0" customWidth="1"/>
    <col min="8" max="8" width="13.57421875" style="0" bestFit="1" customWidth="1"/>
    <col min="9" max="9" width="16.57421875" style="0" customWidth="1"/>
    <col min="10" max="10" width="12.421875" style="0" customWidth="1"/>
    <col min="11" max="11" width="12.28125" style="0" customWidth="1"/>
    <col min="12" max="12" width="15.421875" style="0" customWidth="1"/>
    <col min="13" max="13" width="16.7109375" style="0" customWidth="1"/>
    <col min="14" max="14" width="16.421875" style="0" customWidth="1"/>
    <col min="15" max="15" width="61.421875" style="0" bestFit="1" customWidth="1"/>
    <col min="16" max="16" width="12.28125" style="0" hidden="1" customWidth="1"/>
    <col min="17" max="17" width="19.140625" style="0" hidden="1" customWidth="1"/>
    <col min="18" max="18" width="18.421875" style="0" hidden="1" customWidth="1"/>
    <col min="19" max="19" width="13.8515625" style="0" bestFit="1" customWidth="1"/>
  </cols>
  <sheetData>
    <row r="1" spans="1:19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spans="1:19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559" t="s">
        <v>119</v>
      </c>
      <c r="J4" s="560"/>
      <c r="K4" s="561"/>
      <c r="L4" s="88"/>
      <c r="M4" s="552" t="s">
        <v>63</v>
      </c>
      <c r="N4" s="552" t="s">
        <v>424</v>
      </c>
      <c r="O4" s="88"/>
      <c r="P4" s="88"/>
      <c r="Q4" s="88"/>
      <c r="R4" s="88"/>
      <c r="S4" s="88"/>
    </row>
    <row r="5" spans="1:19" ht="16.5" thickBot="1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562"/>
      <c r="J5" s="563"/>
      <c r="K5" s="564"/>
      <c r="L5" s="92" t="s">
        <v>41</v>
      </c>
      <c r="M5" s="553"/>
      <c r="N5" s="553"/>
      <c r="O5" s="92"/>
      <c r="P5" s="92"/>
      <c r="Q5" s="92" t="s">
        <v>31</v>
      </c>
      <c r="R5" s="92" t="s">
        <v>34</v>
      </c>
      <c r="S5" s="92" t="s">
        <v>29</v>
      </c>
    </row>
    <row r="6" spans="1:19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93"/>
      <c r="H6" s="94"/>
      <c r="I6" s="161" t="s">
        <v>120</v>
      </c>
      <c r="J6" s="161" t="s">
        <v>50</v>
      </c>
      <c r="K6" s="161" t="s">
        <v>49</v>
      </c>
      <c r="L6" s="95" t="s">
        <v>28</v>
      </c>
      <c r="M6" s="553"/>
      <c r="N6" s="553"/>
      <c r="O6" s="92" t="s">
        <v>42</v>
      </c>
      <c r="P6" s="92" t="s">
        <v>30</v>
      </c>
      <c r="Q6" s="92" t="s">
        <v>32</v>
      </c>
      <c r="R6" s="92" t="s">
        <v>35</v>
      </c>
      <c r="S6" s="92" t="s">
        <v>16</v>
      </c>
    </row>
    <row r="7" spans="1:19" s="1" customFormat="1" ht="32.25" thickBot="1">
      <c r="A7" s="162" t="s">
        <v>27</v>
      </c>
      <c r="B7" s="163" t="s">
        <v>23</v>
      </c>
      <c r="C7" s="163" t="s">
        <v>19</v>
      </c>
      <c r="D7" s="538"/>
      <c r="E7" s="98" t="s">
        <v>87</v>
      </c>
      <c r="F7" s="99" t="s">
        <v>44</v>
      </c>
      <c r="G7" s="164" t="s">
        <v>2</v>
      </c>
      <c r="H7" s="165" t="s">
        <v>0</v>
      </c>
      <c r="I7" s="166">
        <f>+F9</f>
        <v>0.5428</v>
      </c>
      <c r="J7" s="166">
        <f>+F10</f>
        <v>0.2525</v>
      </c>
      <c r="K7" s="166">
        <f>+F11</f>
        <v>0.2047</v>
      </c>
      <c r="L7" s="167" t="s">
        <v>0</v>
      </c>
      <c r="M7" s="554"/>
      <c r="N7" s="554"/>
      <c r="O7" s="163"/>
      <c r="P7" s="163" t="s">
        <v>37</v>
      </c>
      <c r="Q7" s="168" t="s">
        <v>33</v>
      </c>
      <c r="R7" s="168" t="s">
        <v>36</v>
      </c>
      <c r="S7" s="163"/>
    </row>
    <row r="8" spans="1:20" s="170" customFormat="1" ht="15" customHeight="1" thickBot="1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5"/>
      <c r="J8" s="105"/>
      <c r="K8" s="105">
        <v>8</v>
      </c>
      <c r="L8" s="105">
        <v>9</v>
      </c>
      <c r="M8" s="105"/>
      <c r="N8" s="105"/>
      <c r="O8" s="105" t="s">
        <v>88</v>
      </c>
      <c r="P8" s="105">
        <v>9</v>
      </c>
      <c r="Q8" s="105">
        <v>12</v>
      </c>
      <c r="R8" s="105">
        <v>13</v>
      </c>
      <c r="S8" s="105">
        <v>14</v>
      </c>
      <c r="T8" s="169"/>
    </row>
    <row r="9" spans="1:19" s="1" customFormat="1" ht="19.5" customHeight="1" thickBot="1">
      <c r="A9" s="171" t="s">
        <v>121</v>
      </c>
      <c r="B9" s="172" t="s">
        <v>122</v>
      </c>
      <c r="C9" s="173">
        <v>30000</v>
      </c>
      <c r="D9" s="173" t="s">
        <v>120</v>
      </c>
      <c r="E9" s="174">
        <f>2290.56*F9</f>
        <v>1243.3159679999999</v>
      </c>
      <c r="F9" s="175">
        <v>0.5428</v>
      </c>
      <c r="G9" s="43">
        <v>2010</v>
      </c>
      <c r="H9" s="173">
        <v>28356</v>
      </c>
      <c r="I9" s="173">
        <f>+H9*I$7</f>
        <v>15391.636799999998</v>
      </c>
      <c r="J9" s="173">
        <f>+H9*J$7</f>
        <v>7159.89</v>
      </c>
      <c r="K9" s="173">
        <f>+H9*K$7</f>
        <v>5804.473199999999</v>
      </c>
      <c r="L9" s="173">
        <v>0</v>
      </c>
      <c r="M9" s="405"/>
      <c r="N9" s="405">
        <v>0</v>
      </c>
      <c r="O9" s="44"/>
      <c r="P9" s="45"/>
      <c r="Q9" s="176"/>
      <c r="R9" s="176"/>
      <c r="S9" s="173">
        <f>+H9-L9-M9</f>
        <v>28356</v>
      </c>
    </row>
    <row r="10" spans="1:19" s="1" customFormat="1" ht="19.5" customHeight="1" thickBot="1">
      <c r="A10" s="58" t="s">
        <v>123</v>
      </c>
      <c r="B10" s="177" t="s">
        <v>94</v>
      </c>
      <c r="C10" s="173">
        <v>30000</v>
      </c>
      <c r="D10" s="173" t="s">
        <v>49</v>
      </c>
      <c r="E10" s="174">
        <f>2290.56*F10</f>
        <v>578.3664</v>
      </c>
      <c r="F10" s="175">
        <v>0.2525</v>
      </c>
      <c r="G10" s="43">
        <v>2011</v>
      </c>
      <c r="H10" s="173">
        <v>30000</v>
      </c>
      <c r="I10" s="173">
        <f>+H10*I$7</f>
        <v>16283.999999999998</v>
      </c>
      <c r="J10" s="173">
        <f>+H10*J$7</f>
        <v>7575</v>
      </c>
      <c r="K10" s="173">
        <f aca="true" t="shared" si="0" ref="K10:K20">+H10*K$7</f>
        <v>6141</v>
      </c>
      <c r="L10" s="173">
        <v>0</v>
      </c>
      <c r="M10" s="405"/>
      <c r="N10" s="405">
        <v>0</v>
      </c>
      <c r="O10" s="44"/>
      <c r="P10" s="45"/>
      <c r="Q10" s="178"/>
      <c r="R10" s="178"/>
      <c r="S10" s="173">
        <f aca="true" t="shared" si="1" ref="S10:S16">+H10-L10-M10</f>
        <v>30000</v>
      </c>
    </row>
    <row r="11" spans="1:19" ht="19.5" customHeight="1" thickBot="1">
      <c r="A11" s="179" t="s">
        <v>124</v>
      </c>
      <c r="B11" s="180"/>
      <c r="C11" s="181">
        <v>30000</v>
      </c>
      <c r="D11" s="181" t="s">
        <v>50</v>
      </c>
      <c r="E11" s="174">
        <f>2290.56*F11</f>
        <v>468.87763199999995</v>
      </c>
      <c r="F11" s="175">
        <v>0.2047</v>
      </c>
      <c r="G11" s="183">
        <v>2012</v>
      </c>
      <c r="H11" s="181">
        <v>30000</v>
      </c>
      <c r="I11" s="173">
        <f>+H11*I$7</f>
        <v>16283.999999999998</v>
      </c>
      <c r="J11" s="173">
        <f>+H11*J$7</f>
        <v>7575</v>
      </c>
      <c r="K11" s="173">
        <f t="shared" si="0"/>
        <v>6141</v>
      </c>
      <c r="L11" s="181"/>
      <c r="M11" s="406"/>
      <c r="N11" s="406">
        <v>0</v>
      </c>
      <c r="O11" s="184"/>
      <c r="P11" s="185"/>
      <c r="Q11" s="178"/>
      <c r="R11" s="178"/>
      <c r="S11" s="173">
        <f t="shared" si="1"/>
        <v>30000</v>
      </c>
    </row>
    <row r="12" spans="1:19" ht="19.5" customHeight="1" thickBot="1">
      <c r="A12" s="179" t="s">
        <v>125</v>
      </c>
      <c r="B12" s="180"/>
      <c r="C12" s="181">
        <v>30000</v>
      </c>
      <c r="D12" s="181"/>
      <c r="E12" s="182"/>
      <c r="F12" s="181"/>
      <c r="G12" s="183">
        <v>2013</v>
      </c>
      <c r="H12" s="181">
        <v>30000</v>
      </c>
      <c r="I12" s="173">
        <f>+H12*I$7</f>
        <v>16283.999999999998</v>
      </c>
      <c r="J12" s="173">
        <f>+H12*J$7</f>
        <v>7575</v>
      </c>
      <c r="K12" s="173">
        <f t="shared" si="0"/>
        <v>6141</v>
      </c>
      <c r="L12" s="181"/>
      <c r="M12" s="406">
        <v>118356</v>
      </c>
      <c r="N12" s="406">
        <v>0</v>
      </c>
      <c r="O12" s="184"/>
      <c r="P12" s="185"/>
      <c r="Q12" s="178"/>
      <c r="R12" s="178"/>
      <c r="S12" s="173">
        <f t="shared" si="1"/>
        <v>-88356</v>
      </c>
    </row>
    <row r="13" spans="1:19" ht="19.5" customHeight="1" thickBot="1">
      <c r="A13" s="179"/>
      <c r="B13" s="180"/>
      <c r="C13" s="186">
        <v>30000</v>
      </c>
      <c r="D13" s="186"/>
      <c r="E13" s="187"/>
      <c r="F13" s="186"/>
      <c r="G13" s="188">
        <v>2014</v>
      </c>
      <c r="H13" s="186">
        <v>30000</v>
      </c>
      <c r="I13" s="173">
        <f>+H13*I$7</f>
        <v>16283.999999999998</v>
      </c>
      <c r="J13" s="173">
        <f>+H13*J$7</f>
        <v>7575</v>
      </c>
      <c r="K13" s="173">
        <f t="shared" si="0"/>
        <v>6141</v>
      </c>
      <c r="L13" s="186"/>
      <c r="M13" s="407">
        <v>30000</v>
      </c>
      <c r="N13" s="407">
        <v>0</v>
      </c>
      <c r="O13" s="189"/>
      <c r="P13" s="185"/>
      <c r="Q13" s="178"/>
      <c r="R13" s="178"/>
      <c r="S13" s="173">
        <f t="shared" si="1"/>
        <v>0</v>
      </c>
    </row>
    <row r="14" spans="1:19" ht="19.5" customHeight="1" thickBot="1">
      <c r="A14" s="179"/>
      <c r="B14" s="180"/>
      <c r="C14" s="181"/>
      <c r="D14" s="181"/>
      <c r="E14" s="182"/>
      <c r="F14" s="181"/>
      <c r="G14" s="183"/>
      <c r="H14" s="181"/>
      <c r="I14" s="173"/>
      <c r="J14" s="173"/>
      <c r="K14" s="173">
        <f t="shared" si="0"/>
        <v>0</v>
      </c>
      <c r="L14" s="181"/>
      <c r="M14" s="408"/>
      <c r="N14" s="408">
        <v>0</v>
      </c>
      <c r="O14" s="190"/>
      <c r="P14" s="185"/>
      <c r="Q14" s="178"/>
      <c r="R14" s="178"/>
      <c r="S14" s="173">
        <f t="shared" si="1"/>
        <v>0</v>
      </c>
    </row>
    <row r="15" spans="1:19" ht="19.5" customHeight="1" thickBot="1">
      <c r="A15" s="179"/>
      <c r="B15" s="180"/>
      <c r="C15" s="186">
        <v>30000</v>
      </c>
      <c r="D15" s="186"/>
      <c r="E15" s="187"/>
      <c r="F15" s="186"/>
      <c r="G15" s="188">
        <v>2015</v>
      </c>
      <c r="H15" s="186">
        <v>30000</v>
      </c>
      <c r="I15" s="173">
        <f>+H15*I$7</f>
        <v>16283.999999999998</v>
      </c>
      <c r="J15" s="173">
        <f>+H15*J$7</f>
        <v>7575</v>
      </c>
      <c r="K15" s="173">
        <f t="shared" si="0"/>
        <v>6141</v>
      </c>
      <c r="L15" s="186"/>
      <c r="M15" s="407">
        <v>30000</v>
      </c>
      <c r="N15" s="407">
        <v>0</v>
      </c>
      <c r="O15" s="189"/>
      <c r="P15" s="185"/>
      <c r="Q15" s="178"/>
      <c r="R15" s="178"/>
      <c r="S15" s="173">
        <f t="shared" si="1"/>
        <v>0</v>
      </c>
    </row>
    <row r="16" spans="1:19" ht="19.5" customHeight="1" thickBot="1">
      <c r="A16" s="179"/>
      <c r="B16" s="180"/>
      <c r="C16" s="181"/>
      <c r="D16" s="181"/>
      <c r="E16" s="182"/>
      <c r="F16" s="181"/>
      <c r="G16" s="183"/>
      <c r="H16" s="181"/>
      <c r="I16" s="173"/>
      <c r="J16" s="173"/>
      <c r="K16" s="173">
        <f t="shared" si="0"/>
        <v>0</v>
      </c>
      <c r="L16" s="181"/>
      <c r="M16" s="408"/>
      <c r="N16" s="408">
        <v>0</v>
      </c>
      <c r="O16" s="190"/>
      <c r="P16" s="185"/>
      <c r="Q16" s="178"/>
      <c r="R16" s="178"/>
      <c r="S16" s="173">
        <f t="shared" si="1"/>
        <v>0</v>
      </c>
    </row>
    <row r="17" spans="1:19" ht="19.5" customHeight="1" thickBot="1">
      <c r="A17" s="179"/>
      <c r="B17" s="180"/>
      <c r="C17" s="186">
        <v>30000</v>
      </c>
      <c r="D17" s="186"/>
      <c r="E17" s="187"/>
      <c r="F17" s="186"/>
      <c r="G17" s="188">
        <v>2016</v>
      </c>
      <c r="H17" s="186">
        <v>30000</v>
      </c>
      <c r="I17" s="173">
        <f>+H17*I$7</f>
        <v>16283.999999999998</v>
      </c>
      <c r="J17" s="173">
        <f>+H17*J$7</f>
        <v>7575</v>
      </c>
      <c r="K17" s="173">
        <f t="shared" si="0"/>
        <v>6141</v>
      </c>
      <c r="L17" s="186"/>
      <c r="M17" s="407">
        <v>30000</v>
      </c>
      <c r="N17" s="407">
        <v>0</v>
      </c>
      <c r="O17" s="189"/>
      <c r="P17" s="185"/>
      <c r="Q17" s="178"/>
      <c r="R17" s="178"/>
      <c r="S17" s="173">
        <f>+H17-L17-M17</f>
        <v>0</v>
      </c>
    </row>
    <row r="18" spans="1:19" ht="33" thickBot="1">
      <c r="A18" s="179"/>
      <c r="B18" s="180"/>
      <c r="C18" s="177"/>
      <c r="D18" s="177"/>
      <c r="E18" s="437"/>
      <c r="F18" s="177"/>
      <c r="G18" s="436">
        <v>2017</v>
      </c>
      <c r="H18" s="177">
        <v>30000</v>
      </c>
      <c r="I18" s="186">
        <f>+H18*I$7</f>
        <v>16283.999999999998</v>
      </c>
      <c r="J18" s="186">
        <f>+H18*J$7</f>
        <v>7575</v>
      </c>
      <c r="K18" s="186">
        <f t="shared" si="0"/>
        <v>6141</v>
      </c>
      <c r="L18" s="177"/>
      <c r="M18" s="438">
        <v>30000</v>
      </c>
      <c r="N18" s="438">
        <v>4802</v>
      </c>
      <c r="O18" s="439" t="s">
        <v>434</v>
      </c>
      <c r="P18" s="185"/>
      <c r="Q18" s="178"/>
      <c r="R18" s="178"/>
      <c r="S18" s="181">
        <f>+H18-L18-M18</f>
        <v>0</v>
      </c>
    </row>
    <row r="19" spans="1:19" ht="19.5" thickBot="1">
      <c r="A19" s="179"/>
      <c r="B19" s="180"/>
      <c r="C19" s="177"/>
      <c r="D19" s="177"/>
      <c r="E19" s="437"/>
      <c r="F19" s="177"/>
      <c r="G19" s="436"/>
      <c r="H19" s="177"/>
      <c r="I19" s="486"/>
      <c r="J19" s="486"/>
      <c r="K19" s="486">
        <f t="shared" si="0"/>
        <v>0</v>
      </c>
      <c r="L19" s="177"/>
      <c r="M19" s="438"/>
      <c r="N19" s="438">
        <v>9078.44</v>
      </c>
      <c r="O19" s="439" t="s">
        <v>435</v>
      </c>
      <c r="P19" s="185"/>
      <c r="Q19" s="178"/>
      <c r="R19" s="178"/>
      <c r="S19" s="181"/>
    </row>
    <row r="20" spans="1:19" ht="19.5" customHeight="1" thickBot="1">
      <c r="A20" s="179"/>
      <c r="B20" s="180"/>
      <c r="C20" s="177"/>
      <c r="D20" s="177"/>
      <c r="E20" s="437"/>
      <c r="F20" s="177"/>
      <c r="G20" s="436"/>
      <c r="H20" s="177"/>
      <c r="I20" s="486"/>
      <c r="J20" s="486"/>
      <c r="K20" s="486">
        <f t="shared" si="0"/>
        <v>0</v>
      </c>
      <c r="L20" s="177"/>
      <c r="M20" s="438"/>
      <c r="N20" s="438">
        <v>5091.25</v>
      </c>
      <c r="O20" s="439" t="s">
        <v>436</v>
      </c>
      <c r="P20" s="185"/>
      <c r="Q20" s="178"/>
      <c r="R20" s="178"/>
      <c r="S20" s="181"/>
    </row>
    <row r="21" spans="1:19" ht="33" thickBot="1">
      <c r="A21" s="179"/>
      <c r="B21" s="180"/>
      <c r="C21" s="177"/>
      <c r="D21" s="177"/>
      <c r="E21" s="437"/>
      <c r="F21" s="177"/>
      <c r="G21" s="436"/>
      <c r="H21" s="177"/>
      <c r="I21" s="486"/>
      <c r="J21" s="486"/>
      <c r="K21" s="486"/>
      <c r="L21" s="177"/>
      <c r="M21" s="438"/>
      <c r="N21" s="438">
        <v>2723.37</v>
      </c>
      <c r="O21" s="439" t="s">
        <v>437</v>
      </c>
      <c r="P21" s="185"/>
      <c r="Q21" s="178"/>
      <c r="R21" s="178"/>
      <c r="S21" s="173">
        <f>+H21-L21-M21</f>
        <v>0</v>
      </c>
    </row>
    <row r="22" spans="1:19" ht="48.75" thickBot="1">
      <c r="A22" s="179"/>
      <c r="B22" s="180"/>
      <c r="C22" s="177"/>
      <c r="D22" s="177"/>
      <c r="E22" s="437"/>
      <c r="F22" s="177"/>
      <c r="G22" s="436"/>
      <c r="H22" s="177"/>
      <c r="I22" s="486"/>
      <c r="J22" s="486"/>
      <c r="K22" s="486"/>
      <c r="L22" s="177"/>
      <c r="M22" s="438"/>
      <c r="N22" s="133">
        <v>4210.7</v>
      </c>
      <c r="O22" s="439" t="s">
        <v>463</v>
      </c>
      <c r="P22" s="185"/>
      <c r="Q22" s="178"/>
      <c r="R22" s="178"/>
      <c r="S22" s="181"/>
    </row>
    <row r="23" spans="1:19" ht="48.75" thickBot="1">
      <c r="A23" s="179"/>
      <c r="B23" s="180"/>
      <c r="C23" s="177"/>
      <c r="D23" s="177"/>
      <c r="E23" s="437"/>
      <c r="F23" s="177"/>
      <c r="G23" s="436"/>
      <c r="H23" s="177"/>
      <c r="I23" s="486"/>
      <c r="J23" s="486"/>
      <c r="K23" s="486"/>
      <c r="L23" s="177"/>
      <c r="M23" s="438"/>
      <c r="N23" s="138">
        <v>5383.7</v>
      </c>
      <c r="O23" s="439" t="s">
        <v>464</v>
      </c>
      <c r="P23" s="185"/>
      <c r="Q23" s="178"/>
      <c r="R23" s="178"/>
      <c r="S23" s="181"/>
    </row>
    <row r="24" spans="1:19" ht="64.5" thickBot="1">
      <c r="A24" s="179"/>
      <c r="B24" s="180"/>
      <c r="C24" s="177"/>
      <c r="D24" s="177"/>
      <c r="E24" s="437"/>
      <c r="F24" s="177"/>
      <c r="G24" s="436"/>
      <c r="H24" s="177"/>
      <c r="I24" s="486"/>
      <c r="J24" s="486"/>
      <c r="K24" s="486"/>
      <c r="L24" s="177"/>
      <c r="M24" s="438"/>
      <c r="N24" s="138">
        <v>5340.3</v>
      </c>
      <c r="O24" s="439" t="s">
        <v>465</v>
      </c>
      <c r="P24" s="185"/>
      <c r="Q24" s="178"/>
      <c r="R24" s="178"/>
      <c r="S24" s="181"/>
    </row>
    <row r="25" spans="1:19" ht="19.5" thickBot="1">
      <c r="A25" s="179"/>
      <c r="B25" s="180"/>
      <c r="C25" s="177"/>
      <c r="D25" s="177"/>
      <c r="E25" s="437"/>
      <c r="F25" s="177"/>
      <c r="G25" s="436">
        <v>2018</v>
      </c>
      <c r="H25" s="177">
        <v>30000</v>
      </c>
      <c r="I25" s="177">
        <f>+H25*I$7</f>
        <v>16283.999999999998</v>
      </c>
      <c r="J25" s="177">
        <f>+H25*J$7</f>
        <v>7575</v>
      </c>
      <c r="K25" s="177">
        <f>+H25*K$7</f>
        <v>6141</v>
      </c>
      <c r="L25" s="177"/>
      <c r="M25" s="438"/>
      <c r="N25" s="438"/>
      <c r="O25" s="439"/>
      <c r="P25" s="185"/>
      <c r="Q25" s="178"/>
      <c r="R25" s="178"/>
      <c r="S25" s="181">
        <f>+H25-L25-M25</f>
        <v>30000</v>
      </c>
    </row>
    <row r="26" spans="1:19" ht="19.5" thickBot="1">
      <c r="A26" s="179"/>
      <c r="B26" s="180"/>
      <c r="C26" s="486">
        <v>30000</v>
      </c>
      <c r="D26" s="486" t="s">
        <v>120</v>
      </c>
      <c r="E26" s="504"/>
      <c r="F26" s="486"/>
      <c r="G26" s="505">
        <v>2019</v>
      </c>
      <c r="H26" s="486">
        <v>30000</v>
      </c>
      <c r="I26" s="486">
        <f>+H26*I$7</f>
        <v>16283.999999999998</v>
      </c>
      <c r="J26" s="486"/>
      <c r="K26" s="486"/>
      <c r="L26" s="486"/>
      <c r="M26" s="486">
        <v>9526</v>
      </c>
      <c r="N26" s="486"/>
      <c r="O26" s="506"/>
      <c r="P26" s="185"/>
      <c r="Q26" s="178"/>
      <c r="R26" s="178"/>
      <c r="S26" s="181">
        <f>I26-L26-M26</f>
        <v>6757.999999999998</v>
      </c>
    </row>
    <row r="27" spans="1:19" ht="19.5" thickBot="1">
      <c r="A27" s="179"/>
      <c r="B27" s="180"/>
      <c r="C27" s="486"/>
      <c r="D27" s="486" t="s">
        <v>49</v>
      </c>
      <c r="E27" s="504"/>
      <c r="F27" s="486"/>
      <c r="G27" s="505"/>
      <c r="H27" s="486"/>
      <c r="I27" s="486"/>
      <c r="J27" s="486">
        <v>7575</v>
      </c>
      <c r="K27" s="486"/>
      <c r="L27" s="486"/>
      <c r="M27" s="486">
        <v>14374</v>
      </c>
      <c r="N27" s="486"/>
      <c r="O27" s="506"/>
      <c r="P27" s="185"/>
      <c r="Q27" s="178"/>
      <c r="R27" s="178"/>
      <c r="S27" s="181">
        <f>J27-L27-M27</f>
        <v>-6799</v>
      </c>
    </row>
    <row r="28" spans="1:19" ht="19.5" thickBot="1">
      <c r="A28" s="179"/>
      <c r="B28" s="180"/>
      <c r="C28" s="486"/>
      <c r="D28" s="486" t="s">
        <v>50</v>
      </c>
      <c r="E28" s="504"/>
      <c r="F28" s="486"/>
      <c r="G28" s="505"/>
      <c r="H28" s="486"/>
      <c r="I28" s="486"/>
      <c r="J28" s="486"/>
      <c r="K28" s="486">
        <v>6141</v>
      </c>
      <c r="L28" s="486"/>
      <c r="M28" s="486">
        <v>6100</v>
      </c>
      <c r="N28" s="486"/>
      <c r="O28" s="506"/>
      <c r="P28" s="185"/>
      <c r="Q28" s="178"/>
      <c r="R28" s="178"/>
      <c r="S28" s="181">
        <f>K28-L28-M28</f>
        <v>41</v>
      </c>
    </row>
    <row r="29" spans="1:20" ht="19.5" customHeight="1" thickBot="1">
      <c r="A29" s="46"/>
      <c r="B29" s="36" t="s">
        <v>5</v>
      </c>
      <c r="C29" s="36">
        <f>SUM(C9:C13)</f>
        <v>150000</v>
      </c>
      <c r="D29" s="55"/>
      <c r="E29" s="36">
        <f>SUM(E9:E13)</f>
        <v>2290.5599999999995</v>
      </c>
      <c r="F29" s="36"/>
      <c r="G29" s="36"/>
      <c r="H29" s="36">
        <f>SUM(H9:H28)</f>
        <v>298356</v>
      </c>
      <c r="I29" s="36">
        <f aca="true" t="shared" si="2" ref="I29:N29">SUM(I9:I28)</f>
        <v>161947.63679999998</v>
      </c>
      <c r="J29" s="36">
        <f t="shared" si="2"/>
        <v>75334.89</v>
      </c>
      <c r="K29" s="36">
        <f t="shared" si="2"/>
        <v>61073.4732</v>
      </c>
      <c r="L29" s="36">
        <f t="shared" si="2"/>
        <v>0</v>
      </c>
      <c r="M29" s="36">
        <f t="shared" si="2"/>
        <v>268356</v>
      </c>
      <c r="N29" s="36">
        <f t="shared" si="2"/>
        <v>36629.76</v>
      </c>
      <c r="O29" s="36"/>
      <c r="P29" s="36">
        <f>SUM(P9:P21)</f>
        <v>0</v>
      </c>
      <c r="Q29" s="36">
        <f>SUM(Q9:Q21)</f>
        <v>0</v>
      </c>
      <c r="R29" s="36">
        <f>SUM(R9:R21)</f>
        <v>0</v>
      </c>
      <c r="S29" s="36">
        <f>SUM(S9:S28)</f>
        <v>30000</v>
      </c>
      <c r="T29" s="435"/>
    </row>
    <row r="30" spans="1:19" ht="16.5" thickBot="1">
      <c r="A30" s="192"/>
      <c r="B30" s="192"/>
      <c r="C30" s="192"/>
      <c r="D30" s="192"/>
      <c r="E30" s="192"/>
      <c r="F30" s="192"/>
      <c r="G30" s="192"/>
      <c r="H30" s="193"/>
      <c r="I30" s="193"/>
      <c r="J30" s="193"/>
      <c r="K30" s="193"/>
      <c r="L30" s="192"/>
      <c r="M30" s="192"/>
      <c r="N30" s="192"/>
      <c r="O30" s="194"/>
      <c r="P30" s="194"/>
      <c r="Q30" s="194"/>
      <c r="R30" s="194"/>
      <c r="S30" s="195"/>
    </row>
    <row r="31" spans="1:19" s="157" customFormat="1" ht="74.25" customHeight="1" thickBot="1">
      <c r="A31" s="483"/>
      <c r="B31" s="483"/>
      <c r="C31" s="483"/>
      <c r="D31" s="483"/>
      <c r="E31" s="555" t="s">
        <v>60</v>
      </c>
      <c r="F31" s="557" t="s">
        <v>61</v>
      </c>
      <c r="G31" s="557"/>
      <c r="H31" s="443" t="s">
        <v>119</v>
      </c>
      <c r="I31" s="444" t="s">
        <v>62</v>
      </c>
      <c r="J31" s="442" t="s">
        <v>63</v>
      </c>
      <c r="K31" s="451" t="s">
        <v>424</v>
      </c>
      <c r="L31" s="485" t="s">
        <v>64</v>
      </c>
      <c r="M31" s="483"/>
      <c r="N31" s="483"/>
      <c r="O31" s="483"/>
      <c r="P31" s="483"/>
      <c r="Q31" s="483"/>
      <c r="R31" s="483"/>
      <c r="S31" s="483"/>
    </row>
    <row r="32" spans="1:19" s="157" customFormat="1" ht="21" customHeight="1" thickBot="1">
      <c r="A32" s="152"/>
      <c r="B32" s="152"/>
      <c r="C32" s="152"/>
      <c r="D32" s="152"/>
      <c r="E32" s="556"/>
      <c r="F32" s="558"/>
      <c r="G32" s="558"/>
      <c r="H32" s="448" t="s">
        <v>442</v>
      </c>
      <c r="I32" s="449" t="s">
        <v>443</v>
      </c>
      <c r="J32" s="447" t="s">
        <v>444</v>
      </c>
      <c r="K32" s="452" t="s">
        <v>445</v>
      </c>
      <c r="L32" s="484" t="s">
        <v>446</v>
      </c>
      <c r="M32" s="152"/>
      <c r="N32" s="152"/>
      <c r="O32" s="152"/>
      <c r="P32" s="152"/>
      <c r="Q32" s="152"/>
      <c r="R32" s="152"/>
      <c r="S32" s="152"/>
    </row>
    <row r="33" spans="1:20" s="157" customFormat="1" ht="43.5" customHeight="1" thickBot="1">
      <c r="A33" s="153"/>
      <c r="B33" s="153"/>
      <c r="C33" s="153"/>
      <c r="D33" s="153"/>
      <c r="E33" s="460" t="s">
        <v>66</v>
      </c>
      <c r="F33" s="479">
        <v>1243.23</v>
      </c>
      <c r="G33" s="480">
        <v>54.27624685666388</v>
      </c>
      <c r="H33" s="473">
        <f>+I29</f>
        <v>161947.63679999998</v>
      </c>
      <c r="I33" s="473"/>
      <c r="J33" s="472">
        <f>119807+9526</f>
        <v>129333</v>
      </c>
      <c r="K33" s="472">
        <v>36630</v>
      </c>
      <c r="L33" s="465">
        <f>H33-I33-J33</f>
        <v>32614.63679999998</v>
      </c>
      <c r="M33" s="153"/>
      <c r="N33" s="153"/>
      <c r="O33" s="153"/>
      <c r="P33" s="153"/>
      <c r="Q33" s="153"/>
      <c r="R33" s="153"/>
      <c r="S33" s="153"/>
      <c r="T33" s="196"/>
    </row>
    <row r="34" spans="5:12" s="157" customFormat="1" ht="16.5" thickBot="1">
      <c r="E34" s="481" t="s">
        <v>67</v>
      </c>
      <c r="F34" s="479">
        <v>578.48</v>
      </c>
      <c r="G34" s="480">
        <v>25.254959485889916</v>
      </c>
      <c r="H34" s="473">
        <f>+J29</f>
        <v>75334.89</v>
      </c>
      <c r="I34" s="472"/>
      <c r="J34" s="473">
        <f>63714+14374</f>
        <v>78088</v>
      </c>
      <c r="K34" s="468"/>
      <c r="L34" s="465">
        <f>H34-I34-J34</f>
        <v>-2753.1100000000006</v>
      </c>
    </row>
    <row r="35" spans="1:20" s="154" customFormat="1" ht="30" customHeight="1" thickBot="1">
      <c r="A35" s="153"/>
      <c r="B35" s="153"/>
      <c r="C35" s="153"/>
      <c r="D35" s="153"/>
      <c r="E35" s="460" t="s">
        <v>49</v>
      </c>
      <c r="F35" s="479">
        <v>468.85</v>
      </c>
      <c r="G35" s="480">
        <v>20.468793657446216</v>
      </c>
      <c r="H35" s="473">
        <f>+K29</f>
        <v>61073.4732</v>
      </c>
      <c r="I35" s="472"/>
      <c r="J35" s="473">
        <f>54835+6100</f>
        <v>60935</v>
      </c>
      <c r="K35" s="468"/>
      <c r="L35" s="465">
        <f>H35-I35-J35</f>
        <v>138.47320000000036</v>
      </c>
      <c r="M35" s="153"/>
      <c r="N35" s="153"/>
      <c r="O35" s="153"/>
      <c r="P35" s="153"/>
      <c r="Q35" s="153"/>
      <c r="R35" s="153"/>
      <c r="S35" s="153"/>
      <c r="T35" s="153"/>
    </row>
    <row r="36" spans="5:12" ht="22.5">
      <c r="E36" s="153"/>
      <c r="F36" s="153"/>
      <c r="G36" s="153"/>
      <c r="H36" s="482">
        <f>SUM(H33:H35)</f>
        <v>298356</v>
      </c>
      <c r="I36" s="470">
        <f>SUM(I33:I34)</f>
        <v>0</v>
      </c>
      <c r="J36" s="470">
        <f>SUM(J33:J35)</f>
        <v>268356</v>
      </c>
      <c r="K36" s="470">
        <f>SUM(K33:K34)</f>
        <v>36630</v>
      </c>
      <c r="L36" s="482">
        <f>SUM(L33:L35)</f>
        <v>29999.999999999978</v>
      </c>
    </row>
  </sheetData>
  <sheetProtection/>
  <mergeCells count="10">
    <mergeCell ref="A1:S1"/>
    <mergeCell ref="A2:S2"/>
    <mergeCell ref="D4:D7"/>
    <mergeCell ref="E4:F6"/>
    <mergeCell ref="I4:K5"/>
    <mergeCell ref="E31:E32"/>
    <mergeCell ref="F31:G32"/>
    <mergeCell ref="G5:H5"/>
    <mergeCell ref="M4:M7"/>
    <mergeCell ref="N4:N7"/>
  </mergeCells>
  <printOptions horizontalCentered="1"/>
  <pageMargins left="0.5" right="0" top="0.75" bottom="0" header="0.5" footer="0.5"/>
  <pageSetup fitToHeight="0" fitToWidth="1" horizontalDpi="600" verticalDpi="600" orientation="landscape" paperSize="9" scale="49" r:id="rId1"/>
  <headerFooter alignWithMargins="0">
    <oddFooter>&amp;L&amp;8&amp;Z&amp;F&amp;D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21"/>
  <sheetViews>
    <sheetView view="pageBreakPreview" zoomScale="80" zoomScaleSheetLayoutView="80" zoomScalePageLayoutView="0" workbookViewId="0" topLeftCell="A1">
      <selection activeCell="M18" sqref="M18"/>
    </sheetView>
  </sheetViews>
  <sheetFormatPr defaultColWidth="9.140625" defaultRowHeight="12.75"/>
  <cols>
    <col min="1" max="1" width="27.7109375" style="0" customWidth="1"/>
    <col min="2" max="2" width="16.28125" style="0" bestFit="1" customWidth="1"/>
    <col min="3" max="4" width="15.00390625" style="0" bestFit="1" customWidth="1"/>
    <col min="5" max="5" width="15.28125" style="0" customWidth="1"/>
    <col min="6" max="6" width="14.140625" style="0" bestFit="1" customWidth="1"/>
    <col min="7" max="7" width="14.28125" style="0" customWidth="1"/>
    <col min="8" max="8" width="14.140625" style="0" bestFit="1" customWidth="1"/>
    <col min="9" max="9" width="14.421875" style="0" customWidth="1"/>
    <col min="10" max="10" width="14.00390625" style="0" customWidth="1"/>
    <col min="11" max="11" width="9.7109375" style="0" bestFit="1" customWidth="1"/>
    <col min="12" max="12" width="15.00390625" style="0" customWidth="1"/>
    <col min="13" max="13" width="9.7109375" style="0" customWidth="1"/>
    <col min="14" max="14" width="43.00390625" style="0" bestFit="1" customWidth="1"/>
    <col min="15" max="15" width="12.28125" style="0" hidden="1" customWidth="1"/>
    <col min="16" max="16" width="20.00390625" style="0" hidden="1" customWidth="1"/>
    <col min="17" max="17" width="17.28125" style="0" hidden="1" customWidth="1"/>
    <col min="18" max="18" width="15.00390625" style="0" bestFit="1" customWidth="1"/>
    <col min="19" max="19" width="20.00390625" style="0" hidden="1" customWidth="1"/>
    <col min="20" max="20" width="19.8515625" style="0" hidden="1" customWidth="1"/>
  </cols>
  <sheetData>
    <row r="1" spans="1:20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85"/>
      <c r="T1" s="85"/>
    </row>
    <row r="2" spans="1:20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86"/>
      <c r="T2" s="86"/>
    </row>
    <row r="3" spans="1:2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559" t="s">
        <v>119</v>
      </c>
      <c r="J4" s="561"/>
      <c r="K4" s="88"/>
      <c r="L4" s="552" t="s">
        <v>63</v>
      </c>
      <c r="M4" s="552" t="s">
        <v>424</v>
      </c>
      <c r="N4" s="88"/>
      <c r="O4" s="88"/>
      <c r="P4" s="88"/>
      <c r="Q4" s="88"/>
      <c r="R4" s="88"/>
      <c r="S4" s="565" t="s">
        <v>126</v>
      </c>
      <c r="T4" s="565" t="s">
        <v>127</v>
      </c>
    </row>
    <row r="5" spans="1:20" ht="16.5" thickBot="1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562"/>
      <c r="J5" s="564"/>
      <c r="K5" s="92" t="s">
        <v>41</v>
      </c>
      <c r="L5" s="553"/>
      <c r="M5" s="553"/>
      <c r="N5" s="92"/>
      <c r="O5" s="92"/>
      <c r="P5" s="92" t="s">
        <v>31</v>
      </c>
      <c r="Q5" s="92" t="s">
        <v>34</v>
      </c>
      <c r="R5" s="92" t="s">
        <v>29</v>
      </c>
      <c r="S5" s="566"/>
      <c r="T5" s="566"/>
    </row>
    <row r="6" spans="1:20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197"/>
      <c r="H6" s="198"/>
      <c r="I6" s="161" t="s">
        <v>50</v>
      </c>
      <c r="J6" s="161" t="s">
        <v>120</v>
      </c>
      <c r="K6" s="95" t="s">
        <v>28</v>
      </c>
      <c r="L6" s="553"/>
      <c r="M6" s="553"/>
      <c r="N6" s="92" t="s">
        <v>42</v>
      </c>
      <c r="O6" s="92" t="s">
        <v>30</v>
      </c>
      <c r="P6" s="92" t="s">
        <v>32</v>
      </c>
      <c r="Q6" s="92" t="s">
        <v>35</v>
      </c>
      <c r="R6" s="92" t="s">
        <v>16</v>
      </c>
      <c r="S6" s="566"/>
      <c r="T6" s="566"/>
    </row>
    <row r="7" spans="1:20" ht="32.25" thickBot="1">
      <c r="A7" s="162" t="s">
        <v>27</v>
      </c>
      <c r="B7" s="163" t="s">
        <v>23</v>
      </c>
      <c r="C7" s="163" t="s">
        <v>19</v>
      </c>
      <c r="D7" s="538"/>
      <c r="E7" s="98" t="s">
        <v>128</v>
      </c>
      <c r="F7" s="99" t="s">
        <v>44</v>
      </c>
      <c r="G7" s="199" t="s">
        <v>2</v>
      </c>
      <c r="H7" s="161" t="s">
        <v>0</v>
      </c>
      <c r="I7" s="166">
        <f>+F9</f>
        <v>0.8072263584117032</v>
      </c>
      <c r="J7" s="166">
        <f>+F10</f>
        <v>0.19277364158829674</v>
      </c>
      <c r="K7" s="167" t="s">
        <v>0</v>
      </c>
      <c r="L7" s="554"/>
      <c r="M7" s="554"/>
      <c r="N7" s="163"/>
      <c r="O7" s="163" t="s">
        <v>37</v>
      </c>
      <c r="P7" s="168" t="s">
        <v>33</v>
      </c>
      <c r="Q7" s="168" t="s">
        <v>36</v>
      </c>
      <c r="R7" s="163"/>
      <c r="S7" s="567"/>
      <c r="T7" s="567"/>
    </row>
    <row r="8" spans="1:20" s="200" customFormat="1" ht="15" customHeight="1" thickBot="1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5">
        <v>8</v>
      </c>
      <c r="J8" s="105">
        <v>8</v>
      </c>
      <c r="K8" s="105">
        <v>9</v>
      </c>
      <c r="L8" s="105"/>
      <c r="M8" s="105"/>
      <c r="N8" s="105" t="s">
        <v>88</v>
      </c>
      <c r="O8" s="105">
        <v>9</v>
      </c>
      <c r="P8" s="105">
        <v>12</v>
      </c>
      <c r="Q8" s="105">
        <v>13</v>
      </c>
      <c r="R8" s="105">
        <v>14</v>
      </c>
      <c r="S8" s="105">
        <v>15</v>
      </c>
      <c r="T8" s="105">
        <v>16</v>
      </c>
    </row>
    <row r="9" spans="1:20" s="13" customFormat="1" ht="19.5" customHeight="1" thickBot="1">
      <c r="A9" s="201" t="s">
        <v>129</v>
      </c>
      <c r="B9" s="172" t="s">
        <v>122</v>
      </c>
      <c r="C9" s="202">
        <v>30000</v>
      </c>
      <c r="D9" s="202" t="s">
        <v>50</v>
      </c>
      <c r="E9" s="202">
        <v>1977.64</v>
      </c>
      <c r="F9" s="203">
        <f>+E9/E14</f>
        <v>0.8072263584117032</v>
      </c>
      <c r="G9" s="43">
        <v>2010</v>
      </c>
      <c r="H9" s="202">
        <v>28356</v>
      </c>
      <c r="I9" s="202">
        <f>+H9*I$7</f>
        <v>22889.710619122256</v>
      </c>
      <c r="J9" s="202">
        <f>+H9-I9</f>
        <v>5466.289380877744</v>
      </c>
      <c r="K9" s="202">
        <v>0</v>
      </c>
      <c r="L9" s="409"/>
      <c r="M9" s="202"/>
      <c r="N9" s="44"/>
      <c r="O9" s="45"/>
      <c r="P9" s="176"/>
      <c r="Q9" s="176"/>
      <c r="R9" s="204">
        <f>+H9-K9-L9</f>
        <v>28356</v>
      </c>
      <c r="S9" s="568"/>
      <c r="T9" s="571"/>
    </row>
    <row r="10" spans="1:20" ht="19.5" customHeight="1" thickBot="1">
      <c r="A10" s="58" t="s">
        <v>132</v>
      </c>
      <c r="B10" s="177" t="s">
        <v>94</v>
      </c>
      <c r="C10" s="202">
        <v>30000</v>
      </c>
      <c r="D10" s="202" t="s">
        <v>133</v>
      </c>
      <c r="E10" s="202">
        <f>472.32-0.04</f>
        <v>472.28</v>
      </c>
      <c r="F10" s="203">
        <f>+E10/E14</f>
        <v>0.19277364158829674</v>
      </c>
      <c r="G10" s="43">
        <v>2011</v>
      </c>
      <c r="H10" s="202">
        <v>30000</v>
      </c>
      <c r="I10" s="202">
        <f>+H10*I$7</f>
        <v>24216.790752351095</v>
      </c>
      <c r="J10" s="202">
        <f>+H10-I10</f>
        <v>5783.209247648905</v>
      </c>
      <c r="K10" s="202">
        <v>0</v>
      </c>
      <c r="L10" s="409"/>
      <c r="M10" s="202"/>
      <c r="N10" s="44"/>
      <c r="O10" s="45"/>
      <c r="P10" s="178"/>
      <c r="Q10" s="178"/>
      <c r="R10" s="204">
        <f>+H10-K10-L10</f>
        <v>30000</v>
      </c>
      <c r="S10" s="569"/>
      <c r="T10" s="572"/>
    </row>
    <row r="11" spans="1:20" ht="19.5" customHeight="1" thickBot="1">
      <c r="A11" s="117" t="s">
        <v>134</v>
      </c>
      <c r="B11" s="205"/>
      <c r="C11" s="206">
        <v>30000</v>
      </c>
      <c r="D11" s="206"/>
      <c r="E11" s="206"/>
      <c r="F11" s="206"/>
      <c r="G11" s="183">
        <v>2012</v>
      </c>
      <c r="H11" s="206">
        <v>30000</v>
      </c>
      <c r="I11" s="202">
        <f>+H11*I$7</f>
        <v>24216.790752351095</v>
      </c>
      <c r="J11" s="202">
        <f>+H11-I11</f>
        <v>5783.209247648905</v>
      </c>
      <c r="K11" s="206"/>
      <c r="L11" s="410"/>
      <c r="M11" s="206"/>
      <c r="N11" s="184"/>
      <c r="O11" s="185"/>
      <c r="P11" s="178"/>
      <c r="Q11" s="178"/>
      <c r="R11" s="204">
        <f>+H11-K11-L11</f>
        <v>30000</v>
      </c>
      <c r="S11" s="569"/>
      <c r="T11" s="572"/>
    </row>
    <row r="12" spans="1:20" ht="19.5" customHeight="1" thickBot="1">
      <c r="A12" s="117" t="s">
        <v>135</v>
      </c>
      <c r="B12" s="205"/>
      <c r="C12" s="206">
        <v>30000</v>
      </c>
      <c r="D12" s="206"/>
      <c r="E12" s="206"/>
      <c r="F12" s="206"/>
      <c r="G12" s="183">
        <v>2013</v>
      </c>
      <c r="H12" s="206">
        <v>30000</v>
      </c>
      <c r="I12" s="202">
        <f>+H12*I$7</f>
        <v>24216.790752351095</v>
      </c>
      <c r="J12" s="202">
        <f>+H12-I12</f>
        <v>5783.209247648905</v>
      </c>
      <c r="K12" s="206"/>
      <c r="L12" s="410">
        <v>118356</v>
      </c>
      <c r="M12" s="206"/>
      <c r="N12" s="184"/>
      <c r="O12" s="185"/>
      <c r="P12" s="178"/>
      <c r="Q12" s="178"/>
      <c r="R12" s="204">
        <f>+H12-K12-L12</f>
        <v>-88356</v>
      </c>
      <c r="S12" s="569"/>
      <c r="T12" s="572"/>
    </row>
    <row r="13" spans="1:20" ht="19.5" customHeight="1" thickBot="1">
      <c r="A13" s="117"/>
      <c r="B13" s="205"/>
      <c r="C13" s="206">
        <v>30000</v>
      </c>
      <c r="D13" s="206"/>
      <c r="E13" s="206"/>
      <c r="F13" s="206"/>
      <c r="G13" s="183">
        <v>2014</v>
      </c>
      <c r="H13" s="206">
        <v>20795</v>
      </c>
      <c r="I13" s="202">
        <f>+H13*I$7</f>
        <v>16786.27212317137</v>
      </c>
      <c r="J13" s="202">
        <f>+H13-I13</f>
        <v>4008.7278768286305</v>
      </c>
      <c r="K13" s="206"/>
      <c r="L13" s="410">
        <v>20795</v>
      </c>
      <c r="M13" s="206"/>
      <c r="N13" s="184"/>
      <c r="O13" s="185"/>
      <c r="P13" s="178"/>
      <c r="Q13" s="178"/>
      <c r="R13" s="204">
        <f>+H13-K13-L13</f>
        <v>0</v>
      </c>
      <c r="S13" s="569"/>
      <c r="T13" s="572"/>
    </row>
    <row r="14" spans="1:20" ht="19.5" customHeight="1" thickBot="1">
      <c r="A14" s="207"/>
      <c r="B14" s="36" t="s">
        <v>5</v>
      </c>
      <c r="C14" s="36">
        <f>SUM(C9:C12)</f>
        <v>120000</v>
      </c>
      <c r="D14" s="55"/>
      <c r="E14" s="208">
        <f>SUM(E9:E12)</f>
        <v>2449.92</v>
      </c>
      <c r="F14" s="36"/>
      <c r="G14" s="36"/>
      <c r="H14" s="36">
        <f>SUM(H9:H13)</f>
        <v>139151</v>
      </c>
      <c r="I14" s="36">
        <f>SUM(I9:I13)</f>
        <v>112326.3549993469</v>
      </c>
      <c r="J14" s="36">
        <f>SUM(J9:J13)</f>
        <v>26824.64500065309</v>
      </c>
      <c r="K14" s="36">
        <f>SUM(K9:K13)</f>
        <v>0</v>
      </c>
      <c r="L14" s="434">
        <f>SUM(L9:L13)</f>
        <v>139151</v>
      </c>
      <c r="M14" s="37"/>
      <c r="N14" s="377"/>
      <c r="O14" s="37"/>
      <c r="P14" s="191"/>
      <c r="Q14" s="191"/>
      <c r="R14" s="372">
        <f>SUM(R9:R13)</f>
        <v>0</v>
      </c>
      <c r="S14" s="570"/>
      <c r="T14" s="573"/>
    </row>
    <row r="15" spans="1:2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5"/>
      <c r="S15" s="3"/>
      <c r="T15" s="3"/>
    </row>
    <row r="16" spans="4:11" ht="75">
      <c r="D16" s="555" t="s">
        <v>60</v>
      </c>
      <c r="E16" s="557" t="s">
        <v>61</v>
      </c>
      <c r="F16" s="557"/>
      <c r="G16" s="443" t="s">
        <v>119</v>
      </c>
      <c r="H16" s="444" t="s">
        <v>62</v>
      </c>
      <c r="I16" s="442" t="s">
        <v>63</v>
      </c>
      <c r="J16" s="451" t="s">
        <v>424</v>
      </c>
      <c r="K16" s="446" t="s">
        <v>64</v>
      </c>
    </row>
    <row r="17" spans="4:11" ht="15">
      <c r="D17" s="556"/>
      <c r="E17" s="558"/>
      <c r="F17" s="558"/>
      <c r="G17" s="448" t="s">
        <v>442</v>
      </c>
      <c r="H17" s="449" t="s">
        <v>443</v>
      </c>
      <c r="I17" s="447" t="s">
        <v>444</v>
      </c>
      <c r="J17" s="452" t="s">
        <v>445</v>
      </c>
      <c r="K17" s="450" t="s">
        <v>446</v>
      </c>
    </row>
    <row r="18" spans="4:11" ht="15.75">
      <c r="D18" s="476" t="s">
        <v>50</v>
      </c>
      <c r="E18" s="466">
        <v>1978</v>
      </c>
      <c r="F18" s="467">
        <v>0.81</v>
      </c>
      <c r="G18" s="472">
        <v>112326</v>
      </c>
      <c r="H18" s="473">
        <v>0</v>
      </c>
      <c r="I18" s="472">
        <v>112326</v>
      </c>
      <c r="J18" s="463"/>
      <c r="K18" s="465">
        <f>G18-H18-I18</f>
        <v>0</v>
      </c>
    </row>
    <row r="19" spans="4:11" ht="12.75">
      <c r="D19" s="472" t="s">
        <v>462</v>
      </c>
      <c r="E19" s="478">
        <v>472</v>
      </c>
      <c r="F19" s="477">
        <v>0.19</v>
      </c>
      <c r="G19" s="472">
        <v>26825</v>
      </c>
      <c r="H19" s="472">
        <v>0</v>
      </c>
      <c r="I19" s="472">
        <v>26825</v>
      </c>
      <c r="J19" s="468"/>
      <c r="K19" s="465">
        <f>G19-H19-I19</f>
        <v>0</v>
      </c>
    </row>
    <row r="20" spans="4:11" ht="22.5">
      <c r="D20" s="153"/>
      <c r="E20" s="153"/>
      <c r="F20" s="153"/>
      <c r="G20" s="470">
        <f>SUM(G18:G19)</f>
        <v>139151</v>
      </c>
      <c r="H20" s="470">
        <f>SUM(H18:H19)</f>
        <v>0</v>
      </c>
      <c r="I20" s="470">
        <f>SUM(I18:I19)</f>
        <v>139151</v>
      </c>
      <c r="J20" s="470">
        <f>SUM(J18:J19)</f>
        <v>0</v>
      </c>
      <c r="K20" s="470">
        <f>SUM(K18:K19)</f>
        <v>0</v>
      </c>
    </row>
    <row r="21" ht="12.75">
      <c r="H21" s="209"/>
    </row>
  </sheetData>
  <sheetProtection/>
  <mergeCells count="14">
    <mergeCell ref="T4:T7"/>
    <mergeCell ref="G5:H5"/>
    <mergeCell ref="S9:S14"/>
    <mergeCell ref="T9:T14"/>
    <mergeCell ref="D16:D17"/>
    <mergeCell ref="E16:F17"/>
    <mergeCell ref="A1:R1"/>
    <mergeCell ref="A2:R2"/>
    <mergeCell ref="D4:D7"/>
    <mergeCell ref="E4:F6"/>
    <mergeCell ref="I4:J5"/>
    <mergeCell ref="S4:S7"/>
    <mergeCell ref="L4:L7"/>
    <mergeCell ref="M4:M7"/>
  </mergeCells>
  <printOptions/>
  <pageMargins left="1" right="0" top="0.75" bottom="0.25" header="0.5" footer="0.5"/>
  <pageSetup fitToHeight="1" fitToWidth="1" horizontalDpi="600" verticalDpi="600" orientation="landscape" paperSize="9" scale="54" r:id="rId1"/>
  <headerFooter alignWithMargins="0">
    <oddFooter>&amp;L&amp;8&amp;Z&amp;F&amp;D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51"/>
  <sheetViews>
    <sheetView view="pageBreakPreview" zoomScale="55" zoomScaleNormal="130" zoomScaleSheetLayoutView="55" zoomScalePageLayoutView="0" workbookViewId="0" topLeftCell="A130">
      <selection activeCell="N141" sqref="N141"/>
    </sheetView>
  </sheetViews>
  <sheetFormatPr defaultColWidth="9.140625" defaultRowHeight="12.75"/>
  <cols>
    <col min="1" max="1" width="30.421875" style="209" customWidth="1"/>
    <col min="2" max="2" width="15.00390625" style="209" customWidth="1"/>
    <col min="3" max="3" width="16.57421875" style="209" bestFit="1" customWidth="1"/>
    <col min="4" max="4" width="22.140625" style="209" customWidth="1"/>
    <col min="5" max="5" width="16.7109375" style="209" customWidth="1"/>
    <col min="6" max="6" width="18.7109375" style="209" customWidth="1"/>
    <col min="7" max="7" width="6.8515625" style="209" bestFit="1" customWidth="1"/>
    <col min="8" max="8" width="16.57421875" style="209" bestFit="1" customWidth="1"/>
    <col min="9" max="9" width="17.57421875" style="209" hidden="1" customWidth="1"/>
    <col min="10" max="11" width="16.57421875" style="209" bestFit="1" customWidth="1"/>
    <col min="12" max="13" width="16.57421875" style="209" customWidth="1"/>
    <col min="14" max="14" width="102.7109375" style="209" customWidth="1"/>
    <col min="15" max="15" width="16.421875" style="209" hidden="1" customWidth="1"/>
    <col min="16" max="16" width="23.140625" style="209" hidden="1" customWidth="1"/>
    <col min="17" max="17" width="27.140625" style="209" hidden="1" customWidth="1"/>
    <col min="18" max="18" width="17.57421875" style="209" bestFit="1" customWidth="1"/>
    <col min="19" max="30" width="9.140625" style="209" customWidth="1"/>
    <col min="31" max="16384" width="9.140625" style="209" customWidth="1"/>
  </cols>
  <sheetData>
    <row r="1" spans="1:18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18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</row>
    <row r="3" spans="1:18" ht="13.5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s="210" customFormat="1" ht="15.75" customHeight="1">
      <c r="A4" s="211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586"/>
      <c r="H4" s="587"/>
      <c r="I4" s="212"/>
      <c r="J4" s="536" t="s">
        <v>86</v>
      </c>
      <c r="K4" s="88"/>
      <c r="L4" s="552" t="s">
        <v>63</v>
      </c>
      <c r="M4" s="552" t="s">
        <v>424</v>
      </c>
      <c r="N4" s="90"/>
      <c r="O4" s="88"/>
      <c r="P4" s="88"/>
      <c r="Q4" s="88"/>
      <c r="R4" s="88"/>
    </row>
    <row r="5" spans="1:18" s="210" customFormat="1" ht="15.75" customHeight="1">
      <c r="A5" s="213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214"/>
      <c r="J5" s="545"/>
      <c r="K5" s="92" t="s">
        <v>41</v>
      </c>
      <c r="L5" s="553"/>
      <c r="M5" s="553"/>
      <c r="N5" s="198"/>
      <c r="O5" s="92"/>
      <c r="P5" s="92" t="s">
        <v>31</v>
      </c>
      <c r="Q5" s="92" t="s">
        <v>34</v>
      </c>
      <c r="R5" s="92" t="s">
        <v>29</v>
      </c>
    </row>
    <row r="6" spans="1:18" s="210" customFormat="1" ht="16.5" thickBot="1">
      <c r="A6" s="213" t="s">
        <v>26</v>
      </c>
      <c r="B6" s="92" t="s">
        <v>22</v>
      </c>
      <c r="C6" s="92" t="s">
        <v>18</v>
      </c>
      <c r="D6" s="537"/>
      <c r="E6" s="543"/>
      <c r="F6" s="544"/>
      <c r="G6" s="588"/>
      <c r="H6" s="589"/>
      <c r="I6" s="215"/>
      <c r="J6" s="545"/>
      <c r="K6" s="92" t="s">
        <v>28</v>
      </c>
      <c r="L6" s="553"/>
      <c r="M6" s="553"/>
      <c r="N6" s="92" t="s">
        <v>42</v>
      </c>
      <c r="O6" s="92" t="s">
        <v>30</v>
      </c>
      <c r="P6" s="92" t="s">
        <v>32</v>
      </c>
      <c r="Q6" s="92" t="s">
        <v>35</v>
      </c>
      <c r="R6" s="92" t="s">
        <v>16</v>
      </c>
    </row>
    <row r="7" spans="1:18" s="210" customFormat="1" ht="39" customHeight="1" thickBot="1">
      <c r="A7" s="216" t="s">
        <v>27</v>
      </c>
      <c r="B7" s="92" t="s">
        <v>23</v>
      </c>
      <c r="C7" s="92" t="s">
        <v>19</v>
      </c>
      <c r="D7" s="538"/>
      <c r="E7" s="98" t="s">
        <v>87</v>
      </c>
      <c r="F7" s="99" t="s">
        <v>44</v>
      </c>
      <c r="G7" s="98" t="s">
        <v>2</v>
      </c>
      <c r="H7" s="217" t="s">
        <v>0</v>
      </c>
      <c r="I7" s="215"/>
      <c r="J7" s="546"/>
      <c r="K7" s="92" t="s">
        <v>0</v>
      </c>
      <c r="L7" s="554"/>
      <c r="M7" s="554"/>
      <c r="N7" s="218"/>
      <c r="O7" s="219" t="s">
        <v>37</v>
      </c>
      <c r="P7" s="219" t="s">
        <v>33</v>
      </c>
      <c r="Q7" s="219" t="s">
        <v>36</v>
      </c>
      <c r="R7" s="92"/>
    </row>
    <row r="8" spans="1:18" s="224" customFormat="1" ht="15.75" thickBot="1">
      <c r="A8" s="220">
        <v>1</v>
      </c>
      <c r="B8" s="221">
        <v>2</v>
      </c>
      <c r="C8" s="222">
        <v>3</v>
      </c>
      <c r="D8" s="222">
        <v>4</v>
      </c>
      <c r="E8" s="223">
        <v>5</v>
      </c>
      <c r="F8" s="222"/>
      <c r="G8" s="223">
        <v>6</v>
      </c>
      <c r="H8" s="222">
        <v>7</v>
      </c>
      <c r="I8" s="222" t="s">
        <v>0</v>
      </c>
      <c r="J8" s="222">
        <v>8</v>
      </c>
      <c r="K8" s="222">
        <v>9</v>
      </c>
      <c r="L8" s="222"/>
      <c r="M8" s="222"/>
      <c r="N8" s="222" t="s">
        <v>88</v>
      </c>
      <c r="O8" s="222"/>
      <c r="P8" s="222">
        <v>12</v>
      </c>
      <c r="Q8" s="222">
        <v>13</v>
      </c>
      <c r="R8" s="222">
        <v>14</v>
      </c>
    </row>
    <row r="9" spans="1:18" s="210" customFormat="1" ht="22.5" thickBot="1" thickTop="1">
      <c r="A9" s="225" t="s">
        <v>136</v>
      </c>
      <c r="B9" s="581" t="s">
        <v>137</v>
      </c>
      <c r="C9" s="127">
        <v>20000</v>
      </c>
      <c r="D9" s="127" t="s">
        <v>138</v>
      </c>
      <c r="E9" s="226">
        <v>86.58</v>
      </c>
      <c r="F9" s="227">
        <v>1</v>
      </c>
      <c r="G9" s="226">
        <v>1995</v>
      </c>
      <c r="H9" s="127">
        <v>20000</v>
      </c>
      <c r="I9" s="226"/>
      <c r="J9" s="127">
        <v>20000</v>
      </c>
      <c r="K9" s="226"/>
      <c r="L9" s="228"/>
      <c r="M9" s="228"/>
      <c r="N9" s="228"/>
      <c r="O9" s="226"/>
      <c r="P9" s="550" t="s">
        <v>139</v>
      </c>
      <c r="Q9" s="550" t="s">
        <v>140</v>
      </c>
      <c r="R9" s="229">
        <f>+J9-K9-L9</f>
        <v>20000</v>
      </c>
    </row>
    <row r="10" spans="1:18" s="210" customFormat="1" ht="21.75" thickBot="1">
      <c r="A10" s="225" t="s">
        <v>141</v>
      </c>
      <c r="B10" s="581"/>
      <c r="C10" s="127">
        <v>40000</v>
      </c>
      <c r="D10" s="127"/>
      <c r="E10" s="226"/>
      <c r="F10" s="127"/>
      <c r="G10" s="226">
        <v>1996</v>
      </c>
      <c r="H10" s="127">
        <v>40000</v>
      </c>
      <c r="I10" s="226"/>
      <c r="J10" s="127">
        <v>40000</v>
      </c>
      <c r="K10" s="226"/>
      <c r="L10" s="228"/>
      <c r="M10" s="228"/>
      <c r="N10" s="228"/>
      <c r="O10" s="226"/>
      <c r="P10" s="569"/>
      <c r="Q10" s="569"/>
      <c r="R10" s="229">
        <f aca="true" t="shared" si="0" ref="R10:R73">+J10-K10-L10</f>
        <v>40000</v>
      </c>
    </row>
    <row r="11" spans="1:18" s="210" customFormat="1" ht="19.5" customHeight="1" thickBot="1">
      <c r="A11" s="225" t="s">
        <v>142</v>
      </c>
      <c r="B11" s="581"/>
      <c r="C11" s="112">
        <v>40000</v>
      </c>
      <c r="D11" s="112"/>
      <c r="E11" s="28"/>
      <c r="F11" s="112"/>
      <c r="G11" s="28">
        <v>1997</v>
      </c>
      <c r="H11" s="112">
        <v>40000</v>
      </c>
      <c r="I11" s="112">
        <v>15383.073960880196</v>
      </c>
      <c r="J11" s="112">
        <v>40000</v>
      </c>
      <c r="K11" s="112">
        <v>15383.073960880196</v>
      </c>
      <c r="L11" s="112"/>
      <c r="M11" s="112"/>
      <c r="N11" s="230" t="s">
        <v>143</v>
      </c>
      <c r="O11" s="231"/>
      <c r="P11" s="569"/>
      <c r="Q11" s="569"/>
      <c r="R11" s="229">
        <f t="shared" si="0"/>
        <v>24616.926039119804</v>
      </c>
    </row>
    <row r="12" spans="1:18" s="210" customFormat="1" ht="19.5" customHeight="1" thickBot="1">
      <c r="A12" s="232"/>
      <c r="B12" s="581"/>
      <c r="C12" s="118">
        <v>40000</v>
      </c>
      <c r="D12" s="118"/>
      <c r="E12" s="123"/>
      <c r="F12" s="233"/>
      <c r="G12" s="123">
        <v>1998</v>
      </c>
      <c r="H12" s="233">
        <v>40000</v>
      </c>
      <c r="I12" s="118">
        <v>9250.95548109173</v>
      </c>
      <c r="J12" s="233">
        <v>40000</v>
      </c>
      <c r="K12" s="118">
        <v>9251</v>
      </c>
      <c r="L12" s="118"/>
      <c r="M12" s="118"/>
      <c r="N12" s="411" t="s">
        <v>144</v>
      </c>
      <c r="O12" s="235"/>
      <c r="P12" s="569"/>
      <c r="Q12" s="569"/>
      <c r="R12" s="229">
        <f t="shared" si="0"/>
        <v>30749</v>
      </c>
    </row>
    <row r="13" spans="1:18" s="210" customFormat="1" ht="19.5" customHeight="1" thickBot="1">
      <c r="A13" s="232"/>
      <c r="B13" s="581"/>
      <c r="C13" s="118"/>
      <c r="D13" s="118"/>
      <c r="E13" s="236"/>
      <c r="F13" s="236"/>
      <c r="G13" s="236"/>
      <c r="H13" s="236"/>
      <c r="I13" s="118">
        <v>12837</v>
      </c>
      <c r="J13" s="236"/>
      <c r="K13" s="118">
        <v>12837</v>
      </c>
      <c r="L13" s="118"/>
      <c r="M13" s="118"/>
      <c r="N13" s="237" t="s">
        <v>145</v>
      </c>
      <c r="O13" s="238"/>
      <c r="P13" s="569"/>
      <c r="Q13" s="569"/>
      <c r="R13" s="229">
        <f t="shared" si="0"/>
        <v>-12837</v>
      </c>
    </row>
    <row r="14" spans="1:18" s="210" customFormat="1" ht="19.5" customHeight="1" thickBot="1">
      <c r="A14" s="232"/>
      <c r="B14" s="581"/>
      <c r="C14" s="127"/>
      <c r="D14" s="127"/>
      <c r="E14" s="239"/>
      <c r="F14" s="239"/>
      <c r="G14" s="239"/>
      <c r="H14" s="239"/>
      <c r="I14" s="127">
        <v>5870</v>
      </c>
      <c r="J14" s="239"/>
      <c r="K14" s="127">
        <f>5870+6809</f>
        <v>12679</v>
      </c>
      <c r="L14" s="118"/>
      <c r="M14" s="118"/>
      <c r="N14" s="240" t="s">
        <v>146</v>
      </c>
      <c r="O14" s="235"/>
      <c r="P14" s="569"/>
      <c r="Q14" s="569"/>
      <c r="R14" s="229">
        <f t="shared" si="0"/>
        <v>-12679</v>
      </c>
    </row>
    <row r="15" spans="1:18" s="210" customFormat="1" ht="18" customHeight="1" thickBot="1">
      <c r="A15" s="232"/>
      <c r="B15" s="581"/>
      <c r="C15" s="112">
        <v>57500</v>
      </c>
      <c r="D15" s="112"/>
      <c r="E15" s="28"/>
      <c r="F15" s="241"/>
      <c r="G15" s="28">
        <v>1999</v>
      </c>
      <c r="H15" s="241">
        <v>57500</v>
      </c>
      <c r="I15" s="112">
        <v>0</v>
      </c>
      <c r="J15" s="241">
        <v>57500</v>
      </c>
      <c r="K15" s="112">
        <f>+I15</f>
        <v>0</v>
      </c>
      <c r="L15" s="112"/>
      <c r="M15" s="112"/>
      <c r="N15" s="115"/>
      <c r="O15" s="116"/>
      <c r="P15" s="569"/>
      <c r="Q15" s="569"/>
      <c r="R15" s="229">
        <f t="shared" si="0"/>
        <v>57500</v>
      </c>
    </row>
    <row r="16" spans="1:18" s="210" customFormat="1" ht="18" customHeight="1" thickBot="1">
      <c r="A16" s="232"/>
      <c r="B16" s="581"/>
      <c r="C16" s="112">
        <v>75000</v>
      </c>
      <c r="D16" s="112"/>
      <c r="E16" s="28"/>
      <c r="F16" s="241"/>
      <c r="G16" s="28">
        <v>2000</v>
      </c>
      <c r="H16" s="241">
        <v>75000</v>
      </c>
      <c r="I16" s="112">
        <v>0</v>
      </c>
      <c r="J16" s="241">
        <v>75000</v>
      </c>
      <c r="K16" s="112">
        <f>+I16</f>
        <v>0</v>
      </c>
      <c r="L16" s="112"/>
      <c r="M16" s="112"/>
      <c r="N16" s="115"/>
      <c r="O16" s="116"/>
      <c r="P16" s="569"/>
      <c r="Q16" s="569"/>
      <c r="R16" s="229">
        <f t="shared" si="0"/>
        <v>75000</v>
      </c>
    </row>
    <row r="17" spans="1:18" s="210" customFormat="1" ht="19.5" customHeight="1" thickBot="1">
      <c r="A17" s="232"/>
      <c r="B17" s="581"/>
      <c r="C17" s="118">
        <v>75000</v>
      </c>
      <c r="D17" s="118"/>
      <c r="E17" s="123"/>
      <c r="F17" s="233"/>
      <c r="G17" s="123">
        <v>2001</v>
      </c>
      <c r="H17" s="233">
        <v>75000</v>
      </c>
      <c r="I17" s="118">
        <v>6876</v>
      </c>
      <c r="J17" s="233">
        <v>75000</v>
      </c>
      <c r="K17" s="118">
        <v>6876</v>
      </c>
      <c r="L17" s="118"/>
      <c r="M17" s="118"/>
      <c r="N17" s="230" t="s">
        <v>147</v>
      </c>
      <c r="O17" s="235"/>
      <c r="P17" s="569"/>
      <c r="Q17" s="569"/>
      <c r="R17" s="229">
        <f t="shared" si="0"/>
        <v>68124</v>
      </c>
    </row>
    <row r="18" spans="1:18" s="210" customFormat="1" ht="19.5" customHeight="1" thickBot="1">
      <c r="A18" s="232"/>
      <c r="B18" s="581"/>
      <c r="C18" s="118"/>
      <c r="D18" s="118"/>
      <c r="E18" s="236"/>
      <c r="F18" s="236"/>
      <c r="G18" s="236"/>
      <c r="H18" s="236"/>
      <c r="I18" s="118">
        <v>14307</v>
      </c>
      <c r="J18" s="236"/>
      <c r="K18" s="118">
        <v>14307</v>
      </c>
      <c r="L18" s="118"/>
      <c r="M18" s="118"/>
      <c r="N18" s="237" t="s">
        <v>148</v>
      </c>
      <c r="O18" s="238"/>
      <c r="P18" s="569"/>
      <c r="Q18" s="569"/>
      <c r="R18" s="229">
        <f t="shared" si="0"/>
        <v>-14307</v>
      </c>
    </row>
    <row r="19" spans="1:18" s="210" customFormat="1" ht="19.5" customHeight="1" thickBot="1">
      <c r="A19" s="232"/>
      <c r="B19" s="582"/>
      <c r="C19" s="118"/>
      <c r="D19" s="118"/>
      <c r="E19" s="236"/>
      <c r="F19" s="236"/>
      <c r="G19" s="236"/>
      <c r="H19" s="236"/>
      <c r="I19" s="118">
        <v>17239.430278621254</v>
      </c>
      <c r="J19" s="236"/>
      <c r="K19" s="118">
        <v>17239</v>
      </c>
      <c r="L19" s="118"/>
      <c r="M19" s="118"/>
      <c r="N19" s="237" t="s">
        <v>149</v>
      </c>
      <c r="O19" s="238"/>
      <c r="P19" s="569"/>
      <c r="Q19" s="569"/>
      <c r="R19" s="229">
        <f t="shared" si="0"/>
        <v>-17239</v>
      </c>
    </row>
    <row r="20" spans="1:18" s="210" customFormat="1" ht="19.5" customHeight="1" thickBot="1">
      <c r="A20" s="232"/>
      <c r="B20" s="582"/>
      <c r="C20" s="118"/>
      <c r="D20" s="118"/>
      <c r="E20" s="236"/>
      <c r="F20" s="236"/>
      <c r="G20" s="236"/>
      <c r="H20" s="236"/>
      <c r="I20" s="118">
        <v>19621.93181151547</v>
      </c>
      <c r="J20" s="236"/>
      <c r="K20" s="118">
        <v>19622</v>
      </c>
      <c r="L20" s="118"/>
      <c r="M20" s="118"/>
      <c r="N20" s="237" t="s">
        <v>150</v>
      </c>
      <c r="O20" s="238"/>
      <c r="P20" s="569"/>
      <c r="Q20" s="569"/>
      <c r="R20" s="229">
        <f t="shared" si="0"/>
        <v>-19622</v>
      </c>
    </row>
    <row r="21" spans="1:18" s="210" customFormat="1" ht="19.5" customHeight="1" thickBot="1">
      <c r="A21" s="232"/>
      <c r="B21" s="582"/>
      <c r="C21" s="118"/>
      <c r="D21" s="118"/>
      <c r="E21" s="236"/>
      <c r="F21" s="236"/>
      <c r="G21" s="236"/>
      <c r="H21" s="236"/>
      <c r="I21" s="118">
        <v>19626.741375521866</v>
      </c>
      <c r="J21" s="236"/>
      <c r="K21" s="118">
        <v>19627</v>
      </c>
      <c r="L21" s="118"/>
      <c r="M21" s="118"/>
      <c r="N21" s="237" t="s">
        <v>151</v>
      </c>
      <c r="O21" s="238"/>
      <c r="P21" s="569"/>
      <c r="Q21" s="569"/>
      <c r="R21" s="229">
        <f t="shared" si="0"/>
        <v>-19627</v>
      </c>
    </row>
    <row r="22" spans="1:18" s="210" customFormat="1" ht="19.5" customHeight="1" thickBot="1">
      <c r="A22" s="232"/>
      <c r="B22" s="236"/>
      <c r="C22" s="118"/>
      <c r="D22" s="118"/>
      <c r="E22" s="123"/>
      <c r="F22" s="233"/>
      <c r="G22" s="123"/>
      <c r="H22" s="233"/>
      <c r="I22" s="118">
        <v>13329</v>
      </c>
      <c r="J22" s="233"/>
      <c r="K22" s="118">
        <v>13329</v>
      </c>
      <c r="L22" s="118"/>
      <c r="M22" s="118"/>
      <c r="N22" s="237" t="s">
        <v>152</v>
      </c>
      <c r="O22" s="238"/>
      <c r="P22" s="569"/>
      <c r="Q22" s="569"/>
      <c r="R22" s="229">
        <f t="shared" si="0"/>
        <v>-13329</v>
      </c>
    </row>
    <row r="23" spans="1:18" s="210" customFormat="1" ht="19.5" customHeight="1" thickBot="1">
      <c r="A23" s="232"/>
      <c r="B23" s="236"/>
      <c r="C23" s="118"/>
      <c r="D23" s="118"/>
      <c r="E23" s="236"/>
      <c r="F23" s="236"/>
      <c r="G23" s="236"/>
      <c r="H23" s="236"/>
      <c r="I23" s="118">
        <v>6837.1940643669295</v>
      </c>
      <c r="J23" s="236"/>
      <c r="K23" s="118">
        <v>6837</v>
      </c>
      <c r="L23" s="118"/>
      <c r="M23" s="118"/>
      <c r="N23" s="237" t="s">
        <v>153</v>
      </c>
      <c r="O23" s="238"/>
      <c r="P23" s="569"/>
      <c r="Q23" s="569"/>
      <c r="R23" s="229">
        <f t="shared" si="0"/>
        <v>-6837</v>
      </c>
    </row>
    <row r="24" spans="1:18" s="210" customFormat="1" ht="19.5" customHeight="1" thickBot="1">
      <c r="A24" s="232"/>
      <c r="B24" s="236"/>
      <c r="C24" s="118"/>
      <c r="D24" s="118"/>
      <c r="E24" s="236"/>
      <c r="F24" s="236"/>
      <c r="G24" s="236"/>
      <c r="H24" s="236"/>
      <c r="I24" s="118">
        <v>4482.55925997302</v>
      </c>
      <c r="J24" s="236"/>
      <c r="K24" s="118">
        <v>4483</v>
      </c>
      <c r="L24" s="118"/>
      <c r="M24" s="118"/>
      <c r="N24" s="237" t="s">
        <v>154</v>
      </c>
      <c r="O24" s="238"/>
      <c r="P24" s="569"/>
      <c r="Q24" s="569"/>
      <c r="R24" s="229">
        <f t="shared" si="0"/>
        <v>-4483</v>
      </c>
    </row>
    <row r="25" spans="1:18" s="210" customFormat="1" ht="19.5" customHeight="1" thickBot="1">
      <c r="A25" s="232"/>
      <c r="B25" s="236"/>
      <c r="C25" s="118"/>
      <c r="D25" s="118"/>
      <c r="E25" s="236"/>
      <c r="F25" s="236"/>
      <c r="G25" s="236"/>
      <c r="H25" s="236"/>
      <c r="I25" s="118">
        <v>2576.3730969358257</v>
      </c>
      <c r="J25" s="236"/>
      <c r="K25" s="118">
        <v>2676</v>
      </c>
      <c r="L25" s="118"/>
      <c r="M25" s="118"/>
      <c r="N25" s="230" t="s">
        <v>155</v>
      </c>
      <c r="O25" s="242"/>
      <c r="P25" s="569"/>
      <c r="Q25" s="569"/>
      <c r="R25" s="229">
        <f t="shared" si="0"/>
        <v>-2676</v>
      </c>
    </row>
    <row r="26" spans="1:18" s="210" customFormat="1" ht="19.5" customHeight="1" thickBot="1">
      <c r="A26" s="232"/>
      <c r="B26" s="123"/>
      <c r="C26" s="133">
        <v>75000</v>
      </c>
      <c r="D26" s="133"/>
      <c r="E26" s="243"/>
      <c r="F26" s="244"/>
      <c r="G26" s="243">
        <v>2002</v>
      </c>
      <c r="H26" s="244">
        <v>75000</v>
      </c>
      <c r="I26" s="133">
        <v>1039.6222778955482</v>
      </c>
      <c r="J26" s="244">
        <v>75000</v>
      </c>
      <c r="K26" s="133">
        <v>1039.6222778955482</v>
      </c>
      <c r="L26" s="133"/>
      <c r="M26" s="133"/>
      <c r="N26" s="412" t="s">
        <v>150</v>
      </c>
      <c r="O26" s="245"/>
      <c r="P26" s="569"/>
      <c r="Q26" s="569"/>
      <c r="R26" s="229">
        <f t="shared" si="0"/>
        <v>73960.37772210446</v>
      </c>
    </row>
    <row r="27" spans="1:18" s="210" customFormat="1" ht="19.5" customHeight="1" thickBot="1">
      <c r="A27" s="232"/>
      <c r="B27" s="236"/>
      <c r="C27" s="118"/>
      <c r="D27" s="118"/>
      <c r="E27" s="123"/>
      <c r="F27" s="233"/>
      <c r="G27" s="123"/>
      <c r="H27" s="233"/>
      <c r="I27" s="118">
        <v>817.248024667566</v>
      </c>
      <c r="J27" s="233"/>
      <c r="K27" s="118">
        <v>817.248024667566</v>
      </c>
      <c r="L27" s="118"/>
      <c r="M27" s="118"/>
      <c r="N27" s="237" t="s">
        <v>149</v>
      </c>
      <c r="O27" s="238"/>
      <c r="P27" s="569"/>
      <c r="Q27" s="569"/>
      <c r="R27" s="229">
        <f t="shared" si="0"/>
        <v>-817.248024667566</v>
      </c>
    </row>
    <row r="28" spans="1:18" s="210" customFormat="1" ht="19.5" customHeight="1" thickBot="1">
      <c r="A28" s="232"/>
      <c r="B28" s="236"/>
      <c r="C28" s="118"/>
      <c r="D28" s="118"/>
      <c r="E28" s="236"/>
      <c r="F28" s="236"/>
      <c r="G28" s="236"/>
      <c r="H28" s="236"/>
      <c r="I28" s="118">
        <v>1556.5031798034302</v>
      </c>
      <c r="J28" s="236"/>
      <c r="K28" s="118">
        <v>1556.5031798034302</v>
      </c>
      <c r="L28" s="118"/>
      <c r="M28" s="118"/>
      <c r="N28" s="237" t="s">
        <v>152</v>
      </c>
      <c r="O28" s="238"/>
      <c r="P28" s="569"/>
      <c r="Q28" s="569"/>
      <c r="R28" s="229">
        <f t="shared" si="0"/>
        <v>-1556.5031798034302</v>
      </c>
    </row>
    <row r="29" spans="1:18" s="210" customFormat="1" ht="19.5" customHeight="1" thickBot="1">
      <c r="A29" s="232"/>
      <c r="B29" s="236"/>
      <c r="C29" s="118"/>
      <c r="D29" s="118"/>
      <c r="E29" s="236"/>
      <c r="F29" s="236"/>
      <c r="G29" s="236"/>
      <c r="H29" s="236"/>
      <c r="I29" s="118">
        <v>9169.030641742147</v>
      </c>
      <c r="J29" s="236"/>
      <c r="K29" s="118">
        <v>9169.030641742147</v>
      </c>
      <c r="L29" s="118"/>
      <c r="M29" s="118"/>
      <c r="N29" s="230" t="s">
        <v>154</v>
      </c>
      <c r="O29" s="242"/>
      <c r="P29" s="569"/>
      <c r="Q29" s="569"/>
      <c r="R29" s="229">
        <f t="shared" si="0"/>
        <v>-9169.030641742147</v>
      </c>
    </row>
    <row r="30" spans="1:18" s="210" customFormat="1" ht="19.5" customHeight="1" thickBot="1">
      <c r="A30" s="232"/>
      <c r="B30" s="123"/>
      <c r="C30" s="133">
        <v>150000</v>
      </c>
      <c r="D30" s="133"/>
      <c r="E30" s="243"/>
      <c r="F30" s="133"/>
      <c r="G30" s="243">
        <v>2003</v>
      </c>
      <c r="H30" s="133">
        <v>150000</v>
      </c>
      <c r="I30" s="133">
        <v>4958.200038543072</v>
      </c>
      <c r="J30" s="133">
        <v>150000</v>
      </c>
      <c r="K30" s="133">
        <v>4958.200038543072</v>
      </c>
      <c r="L30" s="133"/>
      <c r="M30" s="133"/>
      <c r="N30" s="412" t="s">
        <v>151</v>
      </c>
      <c r="O30" s="245"/>
      <c r="P30" s="569"/>
      <c r="Q30" s="569"/>
      <c r="R30" s="229">
        <f t="shared" si="0"/>
        <v>145041.79996145694</v>
      </c>
    </row>
    <row r="31" spans="1:18" s="210" customFormat="1" ht="19.5" customHeight="1" thickBot="1">
      <c r="A31" s="232"/>
      <c r="B31" s="236"/>
      <c r="C31" s="118"/>
      <c r="D31" s="118"/>
      <c r="E31" s="123"/>
      <c r="F31" s="118"/>
      <c r="G31" s="123"/>
      <c r="H31" s="118"/>
      <c r="I31" s="118">
        <v>3216.7084216612066</v>
      </c>
      <c r="J31" s="118"/>
      <c r="K31" s="118">
        <v>3216.7084216612066</v>
      </c>
      <c r="L31" s="118"/>
      <c r="M31" s="118"/>
      <c r="N31" s="237" t="s">
        <v>156</v>
      </c>
      <c r="O31" s="238"/>
      <c r="P31" s="569"/>
      <c r="Q31" s="569"/>
      <c r="R31" s="229">
        <f t="shared" si="0"/>
        <v>-3216.7084216612066</v>
      </c>
    </row>
    <row r="32" spans="1:18" s="210" customFormat="1" ht="19.5" customHeight="1" thickBot="1">
      <c r="A32" s="246"/>
      <c r="B32" s="123"/>
      <c r="C32" s="118"/>
      <c r="D32" s="118"/>
      <c r="E32" s="123"/>
      <c r="F32" s="118"/>
      <c r="G32" s="123"/>
      <c r="H32" s="118"/>
      <c r="I32" s="118">
        <v>6648.679899788013</v>
      </c>
      <c r="J32" s="118"/>
      <c r="K32" s="118">
        <v>6648.679899788013</v>
      </c>
      <c r="L32" s="118"/>
      <c r="M32" s="118"/>
      <c r="N32" s="237" t="s">
        <v>157</v>
      </c>
      <c r="O32" s="238"/>
      <c r="P32" s="569"/>
      <c r="Q32" s="569"/>
      <c r="R32" s="229">
        <f t="shared" si="0"/>
        <v>-6648.679899788013</v>
      </c>
    </row>
    <row r="33" spans="1:18" s="210" customFormat="1" ht="19.5" customHeight="1" thickBot="1">
      <c r="A33" s="246"/>
      <c r="B33" s="123"/>
      <c r="C33" s="118"/>
      <c r="D33" s="118"/>
      <c r="E33" s="123"/>
      <c r="F33" s="123"/>
      <c r="G33" s="123"/>
      <c r="H33" s="123"/>
      <c r="I33" s="118">
        <v>2890.7303912121797</v>
      </c>
      <c r="J33" s="123"/>
      <c r="K33" s="118">
        <v>2890.7303912121797</v>
      </c>
      <c r="L33" s="118"/>
      <c r="M33" s="118"/>
      <c r="N33" s="237" t="s">
        <v>158</v>
      </c>
      <c r="O33" s="238"/>
      <c r="P33" s="569"/>
      <c r="Q33" s="569"/>
      <c r="R33" s="229">
        <f t="shared" si="0"/>
        <v>-2890.7303912121797</v>
      </c>
    </row>
    <row r="34" spans="1:18" s="210" customFormat="1" ht="19.5" customHeight="1" thickBot="1">
      <c r="A34" s="246"/>
      <c r="B34" s="123"/>
      <c r="C34" s="127"/>
      <c r="D34" s="127"/>
      <c r="E34" s="226"/>
      <c r="F34" s="226"/>
      <c r="G34" s="226"/>
      <c r="H34" s="226"/>
      <c r="I34" s="127">
        <v>4579.803430333398</v>
      </c>
      <c r="J34" s="226"/>
      <c r="K34" s="127">
        <v>4579.803430333398</v>
      </c>
      <c r="L34" s="118"/>
      <c r="M34" s="118"/>
      <c r="N34" s="247" t="s">
        <v>159</v>
      </c>
      <c r="O34" s="248"/>
      <c r="P34" s="569"/>
      <c r="Q34" s="569"/>
      <c r="R34" s="229">
        <f t="shared" si="0"/>
        <v>-4579.803430333398</v>
      </c>
    </row>
    <row r="35" spans="1:18" s="210" customFormat="1" ht="19.5" customHeight="1" thickBot="1">
      <c r="A35" s="246"/>
      <c r="B35" s="123"/>
      <c r="C35" s="118">
        <v>150000</v>
      </c>
      <c r="D35" s="118"/>
      <c r="E35" s="123"/>
      <c r="F35" s="118"/>
      <c r="G35" s="123">
        <v>2004</v>
      </c>
      <c r="H35" s="118">
        <v>150000</v>
      </c>
      <c r="I35" s="118">
        <v>6642.936982077472</v>
      </c>
      <c r="J35" s="118">
        <v>150000</v>
      </c>
      <c r="K35" s="249">
        <v>6642.936982077472</v>
      </c>
      <c r="L35" s="260"/>
      <c r="M35" s="133"/>
      <c r="N35" s="413" t="s">
        <v>160</v>
      </c>
      <c r="O35" s="250"/>
      <c r="P35" s="569"/>
      <c r="Q35" s="569"/>
      <c r="R35" s="229">
        <f t="shared" si="0"/>
        <v>143357.06301792254</v>
      </c>
    </row>
    <row r="36" spans="1:18" s="210" customFormat="1" ht="19.5" customHeight="1" thickBot="1">
      <c r="A36" s="246"/>
      <c r="B36" s="123"/>
      <c r="C36" s="127"/>
      <c r="D36" s="127"/>
      <c r="E36" s="226"/>
      <c r="F36" s="226"/>
      <c r="G36" s="226"/>
      <c r="H36" s="226"/>
      <c r="I36" s="127">
        <v>9118</v>
      </c>
      <c r="J36" s="226"/>
      <c r="K36" s="127">
        <v>9118</v>
      </c>
      <c r="L36" s="127"/>
      <c r="M36" s="127"/>
      <c r="N36" s="414" t="s">
        <v>161</v>
      </c>
      <c r="O36" s="248"/>
      <c r="P36" s="569"/>
      <c r="Q36" s="569"/>
      <c r="R36" s="229">
        <f t="shared" si="0"/>
        <v>-9118</v>
      </c>
    </row>
    <row r="37" spans="1:18" s="210" customFormat="1" ht="19.5" customHeight="1" thickBot="1">
      <c r="A37" s="246"/>
      <c r="B37" s="123"/>
      <c r="C37" s="118">
        <v>150000</v>
      </c>
      <c r="D37" s="118"/>
      <c r="E37" s="123"/>
      <c r="F37" s="118"/>
      <c r="G37" s="123">
        <v>2005</v>
      </c>
      <c r="H37" s="118">
        <v>150000</v>
      </c>
      <c r="I37" s="118">
        <v>2386.1310881767154</v>
      </c>
      <c r="J37" s="118">
        <v>150000</v>
      </c>
      <c r="K37" s="118">
        <v>2386.1310881767154</v>
      </c>
      <c r="L37" s="118"/>
      <c r="M37" s="118"/>
      <c r="N37" s="252" t="s">
        <v>162</v>
      </c>
      <c r="O37" s="235"/>
      <c r="P37" s="569"/>
      <c r="Q37" s="569"/>
      <c r="R37" s="229">
        <f t="shared" si="0"/>
        <v>147613.8689118233</v>
      </c>
    </row>
    <row r="38" spans="1:18" s="210" customFormat="1" ht="19.5" customHeight="1" thickBot="1">
      <c r="A38" s="246"/>
      <c r="B38" s="123"/>
      <c r="C38" s="118"/>
      <c r="D38" s="118"/>
      <c r="E38" s="123"/>
      <c r="F38" s="123"/>
      <c r="G38" s="123"/>
      <c r="H38" s="123"/>
      <c r="I38" s="118">
        <v>16808.11153358682</v>
      </c>
      <c r="J38" s="123"/>
      <c r="K38" s="118">
        <v>16808.11153358682</v>
      </c>
      <c r="L38" s="118"/>
      <c r="M38" s="118"/>
      <c r="N38" s="237" t="s">
        <v>161</v>
      </c>
      <c r="O38" s="238"/>
      <c r="P38" s="569"/>
      <c r="Q38" s="569"/>
      <c r="R38" s="229">
        <f t="shared" si="0"/>
        <v>-16808.11153358682</v>
      </c>
    </row>
    <row r="39" spans="1:18" s="210" customFormat="1" ht="19.5" customHeight="1" thickBot="1">
      <c r="A39" s="246"/>
      <c r="B39" s="123"/>
      <c r="C39" s="118"/>
      <c r="D39" s="118"/>
      <c r="E39" s="123"/>
      <c r="F39" s="123"/>
      <c r="G39" s="123"/>
      <c r="H39" s="123"/>
      <c r="I39" s="118">
        <v>513.3260908926309</v>
      </c>
      <c r="J39" s="123"/>
      <c r="K39" s="118">
        <v>513.3260908926309</v>
      </c>
      <c r="L39" s="118"/>
      <c r="M39" s="118"/>
      <c r="N39" s="237" t="s">
        <v>163</v>
      </c>
      <c r="O39" s="238"/>
      <c r="P39" s="569"/>
      <c r="Q39" s="569"/>
      <c r="R39" s="229">
        <f t="shared" si="0"/>
        <v>-513.3260908926309</v>
      </c>
    </row>
    <row r="40" spans="1:18" s="210" customFormat="1" ht="19.5" customHeight="1" thickBot="1">
      <c r="A40" s="246"/>
      <c r="B40" s="123"/>
      <c r="C40" s="118"/>
      <c r="D40" s="118"/>
      <c r="E40" s="123"/>
      <c r="F40" s="123"/>
      <c r="G40" s="123"/>
      <c r="H40" s="123"/>
      <c r="I40" s="118">
        <v>5360.890820206409</v>
      </c>
      <c r="J40" s="123"/>
      <c r="K40" s="118">
        <v>5360.890820206409</v>
      </c>
      <c r="L40" s="118"/>
      <c r="M40" s="118"/>
      <c r="N40" s="237" t="s">
        <v>164</v>
      </c>
      <c r="O40" s="238"/>
      <c r="P40" s="569"/>
      <c r="Q40" s="569"/>
      <c r="R40" s="229">
        <f t="shared" si="0"/>
        <v>-5360.890820206409</v>
      </c>
    </row>
    <row r="41" spans="1:18" s="210" customFormat="1" ht="19.5" customHeight="1" thickBot="1">
      <c r="A41" s="246"/>
      <c r="B41" s="123"/>
      <c r="C41" s="118"/>
      <c r="D41" s="118"/>
      <c r="E41" s="123"/>
      <c r="F41" s="123"/>
      <c r="G41" s="123"/>
      <c r="H41" s="123"/>
      <c r="I41" s="118">
        <v>5111.42495020822</v>
      </c>
      <c r="J41" s="123"/>
      <c r="K41" s="118">
        <v>5111.42495020822</v>
      </c>
      <c r="L41" s="118"/>
      <c r="M41" s="118"/>
      <c r="N41" s="237" t="s">
        <v>165</v>
      </c>
      <c r="O41" s="238"/>
      <c r="P41" s="569"/>
      <c r="Q41" s="569"/>
      <c r="R41" s="229">
        <f t="shared" si="0"/>
        <v>-5111.42495020822</v>
      </c>
    </row>
    <row r="42" spans="1:18" s="210" customFormat="1" ht="19.5" customHeight="1" thickBot="1">
      <c r="A42" s="246"/>
      <c r="B42" s="123"/>
      <c r="C42" s="127"/>
      <c r="D42" s="127"/>
      <c r="E42" s="226"/>
      <c r="F42" s="226"/>
      <c r="G42" s="226"/>
      <c r="H42" s="226"/>
      <c r="I42" s="127">
        <v>9257.251493753396</v>
      </c>
      <c r="J42" s="226"/>
      <c r="K42" s="127">
        <v>9257.251493753396</v>
      </c>
      <c r="L42" s="127"/>
      <c r="M42" s="127"/>
      <c r="N42" s="253" t="s">
        <v>166</v>
      </c>
      <c r="O42" s="248"/>
      <c r="P42" s="569"/>
      <c r="Q42" s="569"/>
      <c r="R42" s="229">
        <f t="shared" si="0"/>
        <v>-9257.251493753396</v>
      </c>
    </row>
    <row r="43" spans="1:18" s="210" customFormat="1" ht="19.5" customHeight="1" thickBot="1">
      <c r="A43" s="246"/>
      <c r="B43" s="123"/>
      <c r="C43" s="118">
        <v>150000</v>
      </c>
      <c r="D43" s="118"/>
      <c r="E43" s="123"/>
      <c r="F43" s="118"/>
      <c r="G43" s="123">
        <v>2006</v>
      </c>
      <c r="H43" s="118">
        <v>150000</v>
      </c>
      <c r="I43" s="118">
        <v>3815.6617780191928</v>
      </c>
      <c r="J43" s="118">
        <v>150000</v>
      </c>
      <c r="K43" s="118">
        <v>3815.6617780191928</v>
      </c>
      <c r="L43" s="118"/>
      <c r="M43" s="118"/>
      <c r="N43" s="252" t="s">
        <v>167</v>
      </c>
      <c r="O43" s="235"/>
      <c r="P43" s="569"/>
      <c r="Q43" s="569"/>
      <c r="R43" s="229">
        <f t="shared" si="0"/>
        <v>146184.3382219808</v>
      </c>
    </row>
    <row r="44" spans="1:18" s="210" customFormat="1" ht="19.5" customHeight="1" thickBot="1">
      <c r="A44" s="246"/>
      <c r="B44" s="123"/>
      <c r="C44" s="118"/>
      <c r="D44" s="118"/>
      <c r="E44" s="123"/>
      <c r="F44" s="123"/>
      <c r="G44" s="123"/>
      <c r="H44" s="123"/>
      <c r="I44" s="118">
        <v>58216</v>
      </c>
      <c r="J44" s="123"/>
      <c r="K44" s="118">
        <v>58216</v>
      </c>
      <c r="L44" s="118"/>
      <c r="M44" s="118"/>
      <c r="N44" s="415" t="s">
        <v>168</v>
      </c>
      <c r="O44" s="238"/>
      <c r="P44" s="569"/>
      <c r="Q44" s="569"/>
      <c r="R44" s="229">
        <f t="shared" si="0"/>
        <v>-58216</v>
      </c>
    </row>
    <row r="45" spans="1:18" s="210" customFormat="1" ht="19.5" customHeight="1" thickBot="1">
      <c r="A45" s="246"/>
      <c r="B45" s="123"/>
      <c r="C45" s="118"/>
      <c r="D45" s="118"/>
      <c r="E45" s="123"/>
      <c r="F45" s="123"/>
      <c r="G45" s="123"/>
      <c r="H45" s="123"/>
      <c r="I45" s="118">
        <v>2734.979951884523</v>
      </c>
      <c r="J45" s="123"/>
      <c r="K45" s="118">
        <v>2734.979951884523</v>
      </c>
      <c r="L45" s="118"/>
      <c r="M45" s="118"/>
      <c r="N45" s="237" t="s">
        <v>163</v>
      </c>
      <c r="O45" s="238"/>
      <c r="P45" s="569"/>
      <c r="Q45" s="569"/>
      <c r="R45" s="229">
        <f t="shared" si="0"/>
        <v>-2734.979951884523</v>
      </c>
    </row>
    <row r="46" spans="1:18" s="210" customFormat="1" ht="19.5" customHeight="1" thickBot="1">
      <c r="A46" s="246"/>
      <c r="B46" s="123"/>
      <c r="C46" s="118"/>
      <c r="D46" s="118"/>
      <c r="E46" s="123"/>
      <c r="F46" s="123"/>
      <c r="G46" s="123"/>
      <c r="H46" s="123"/>
      <c r="I46" s="118">
        <v>5265.886126704089</v>
      </c>
      <c r="J46" s="123"/>
      <c r="K46" s="118">
        <v>5265.886126704089</v>
      </c>
      <c r="L46" s="118"/>
      <c r="M46" s="118"/>
      <c r="N46" s="237" t="s">
        <v>169</v>
      </c>
      <c r="O46" s="238"/>
      <c r="P46" s="569"/>
      <c r="Q46" s="569"/>
      <c r="R46" s="229">
        <f t="shared" si="0"/>
        <v>-5265.886126704089</v>
      </c>
    </row>
    <row r="47" spans="1:18" s="210" customFormat="1" ht="19.5" customHeight="1" thickBot="1">
      <c r="A47" s="246"/>
      <c r="B47" s="123"/>
      <c r="C47" s="127"/>
      <c r="D47" s="127"/>
      <c r="E47" s="226"/>
      <c r="F47" s="226"/>
      <c r="G47" s="226"/>
      <c r="H47" s="226"/>
      <c r="I47" s="127">
        <v>6463.319967923015</v>
      </c>
      <c r="J47" s="226"/>
      <c r="K47" s="127">
        <v>6463.319967923015</v>
      </c>
      <c r="L47" s="127"/>
      <c r="M47" s="127"/>
      <c r="N47" s="266" t="s">
        <v>170</v>
      </c>
      <c r="O47" s="248"/>
      <c r="P47" s="570"/>
      <c r="Q47" s="570"/>
      <c r="R47" s="229">
        <f t="shared" si="0"/>
        <v>-6463.319967923015</v>
      </c>
    </row>
    <row r="48" spans="1:18" s="210" customFormat="1" ht="19.5" customHeight="1" thickBot="1">
      <c r="A48" s="246"/>
      <c r="B48" s="123"/>
      <c r="C48" s="133">
        <v>75000</v>
      </c>
      <c r="D48" s="133"/>
      <c r="E48" s="243"/>
      <c r="F48" s="133"/>
      <c r="G48" s="243">
        <v>2007</v>
      </c>
      <c r="H48" s="133">
        <v>75000</v>
      </c>
      <c r="I48" s="133">
        <v>4833.969526864475</v>
      </c>
      <c r="J48" s="133">
        <v>75000</v>
      </c>
      <c r="K48" s="133">
        <v>4833.969526864475</v>
      </c>
      <c r="L48" s="133"/>
      <c r="M48" s="133"/>
      <c r="N48" s="254" t="s">
        <v>171</v>
      </c>
      <c r="O48" s="245"/>
      <c r="P48" s="575" t="s">
        <v>139</v>
      </c>
      <c r="Q48" s="549" t="s">
        <v>140</v>
      </c>
      <c r="R48" s="229">
        <f t="shared" si="0"/>
        <v>70166.03047313553</v>
      </c>
    </row>
    <row r="49" spans="1:18" s="210" customFormat="1" ht="19.5" customHeight="1" thickBot="1">
      <c r="A49" s="246"/>
      <c r="B49" s="123"/>
      <c r="C49" s="118"/>
      <c r="D49" s="118"/>
      <c r="E49" s="123"/>
      <c r="F49" s="123"/>
      <c r="G49" s="123"/>
      <c r="H49" s="123"/>
      <c r="I49" s="118">
        <v>1550.681635926223</v>
      </c>
      <c r="J49" s="123"/>
      <c r="K49" s="118">
        <v>1550.681635926223</v>
      </c>
      <c r="L49" s="118"/>
      <c r="M49" s="118"/>
      <c r="N49" s="416" t="s">
        <v>172</v>
      </c>
      <c r="O49" s="238"/>
      <c r="P49" s="576"/>
      <c r="Q49" s="550"/>
      <c r="R49" s="229">
        <f t="shared" si="0"/>
        <v>-1550.681635926223</v>
      </c>
    </row>
    <row r="50" spans="1:18" s="210" customFormat="1" ht="19.5" customHeight="1" thickBot="1">
      <c r="A50" s="246"/>
      <c r="B50" s="123"/>
      <c r="C50" s="118"/>
      <c r="D50" s="118"/>
      <c r="E50" s="123"/>
      <c r="F50" s="123"/>
      <c r="G50" s="123"/>
      <c r="H50" s="123"/>
      <c r="I50" s="118">
        <v>3588.340016038492</v>
      </c>
      <c r="J50" s="123"/>
      <c r="K50" s="118">
        <v>3588.340016038492</v>
      </c>
      <c r="L50" s="118"/>
      <c r="M50" s="118"/>
      <c r="N50" s="416" t="s">
        <v>173</v>
      </c>
      <c r="O50" s="238"/>
      <c r="P50" s="576"/>
      <c r="Q50" s="550"/>
      <c r="R50" s="229">
        <f t="shared" si="0"/>
        <v>-3588.340016038492</v>
      </c>
    </row>
    <row r="51" spans="1:18" s="210" customFormat="1" ht="19.5" customHeight="1" thickBot="1">
      <c r="A51" s="246"/>
      <c r="B51" s="123"/>
      <c r="C51" s="118"/>
      <c r="D51" s="118"/>
      <c r="E51" s="123"/>
      <c r="F51" s="123"/>
      <c r="G51" s="123"/>
      <c r="H51" s="123"/>
      <c r="I51" s="118">
        <v>5310.922213311948</v>
      </c>
      <c r="J51" s="123"/>
      <c r="K51" s="118">
        <v>5310.922213311948</v>
      </c>
      <c r="L51" s="118"/>
      <c r="M51" s="118"/>
      <c r="N51" s="416" t="s">
        <v>174</v>
      </c>
      <c r="O51" s="238"/>
      <c r="P51" s="576"/>
      <c r="Q51" s="550"/>
      <c r="R51" s="229">
        <f t="shared" si="0"/>
        <v>-5310.922213311948</v>
      </c>
    </row>
    <row r="52" spans="1:18" s="210" customFormat="1" ht="19.5" customHeight="1" thickBot="1">
      <c r="A52" s="246"/>
      <c r="B52" s="123"/>
      <c r="C52" s="118"/>
      <c r="D52" s="118"/>
      <c r="E52" s="123"/>
      <c r="F52" s="123"/>
      <c r="G52" s="123"/>
      <c r="H52" s="123"/>
      <c r="I52" s="118">
        <v>3286.479550922213</v>
      </c>
      <c r="J52" s="123"/>
      <c r="K52" s="118">
        <v>3286.479550922213</v>
      </c>
      <c r="L52" s="118"/>
      <c r="M52" s="118"/>
      <c r="N52" s="416" t="s">
        <v>175</v>
      </c>
      <c r="O52" s="238"/>
      <c r="P52" s="576"/>
      <c r="Q52" s="550"/>
      <c r="R52" s="229">
        <f t="shared" si="0"/>
        <v>-3286.479550922213</v>
      </c>
    </row>
    <row r="53" spans="1:18" s="210" customFormat="1" ht="19.5" customHeight="1" thickBot="1">
      <c r="A53" s="246"/>
      <c r="B53" s="123"/>
      <c r="C53" s="118"/>
      <c r="D53" s="118"/>
      <c r="E53" s="123"/>
      <c r="F53" s="123"/>
      <c r="G53" s="123"/>
      <c r="H53" s="123"/>
      <c r="I53" s="118">
        <v>7912.865145266938</v>
      </c>
      <c r="J53" s="123"/>
      <c r="K53" s="118">
        <v>7912.865145266938</v>
      </c>
      <c r="L53" s="118"/>
      <c r="M53" s="118"/>
      <c r="N53" s="416" t="s">
        <v>176</v>
      </c>
      <c r="O53" s="238"/>
      <c r="P53" s="576"/>
      <c r="Q53" s="550"/>
      <c r="R53" s="229">
        <f t="shared" si="0"/>
        <v>-7912.865145266938</v>
      </c>
    </row>
    <row r="54" spans="1:18" s="210" customFormat="1" ht="19.5" customHeight="1" thickBot="1">
      <c r="A54" s="246"/>
      <c r="B54" s="123"/>
      <c r="C54" s="118"/>
      <c r="D54" s="118"/>
      <c r="E54" s="123"/>
      <c r="F54" s="123"/>
      <c r="G54" s="123"/>
      <c r="H54" s="123"/>
      <c r="I54" s="118">
        <v>8443.02485676358</v>
      </c>
      <c r="J54" s="123"/>
      <c r="K54" s="118">
        <v>8443.02485676358</v>
      </c>
      <c r="L54" s="118"/>
      <c r="M54" s="118"/>
      <c r="N54" s="416" t="s">
        <v>177</v>
      </c>
      <c r="O54" s="238"/>
      <c r="P54" s="576"/>
      <c r="Q54" s="550"/>
      <c r="R54" s="229">
        <f t="shared" si="0"/>
        <v>-8443.02485676358</v>
      </c>
    </row>
    <row r="55" spans="1:18" s="210" customFormat="1" ht="19.5" customHeight="1" thickBot="1">
      <c r="A55" s="246"/>
      <c r="B55" s="123"/>
      <c r="C55" s="118"/>
      <c r="D55" s="118"/>
      <c r="E55" s="123"/>
      <c r="F55" s="123"/>
      <c r="G55" s="123"/>
      <c r="H55" s="123"/>
      <c r="I55" s="118">
        <v>4251.713390416729</v>
      </c>
      <c r="J55" s="123"/>
      <c r="K55" s="118">
        <v>4251.713390416729</v>
      </c>
      <c r="L55" s="118"/>
      <c r="M55" s="118"/>
      <c r="N55" s="416" t="s">
        <v>178</v>
      </c>
      <c r="O55" s="238"/>
      <c r="P55" s="576"/>
      <c r="Q55" s="550"/>
      <c r="R55" s="229">
        <f t="shared" si="0"/>
        <v>-4251.713390416729</v>
      </c>
    </row>
    <row r="56" spans="1:18" s="210" customFormat="1" ht="19.5" customHeight="1" thickBot="1">
      <c r="A56" s="246"/>
      <c r="B56" s="123"/>
      <c r="C56" s="118"/>
      <c r="D56" s="118"/>
      <c r="E56" s="123"/>
      <c r="F56" s="123"/>
      <c r="G56" s="123"/>
      <c r="H56" s="123"/>
      <c r="I56" s="118">
        <v>11444.692055618296</v>
      </c>
      <c r="J56" s="123"/>
      <c r="K56" s="118">
        <v>11444.692055618296</v>
      </c>
      <c r="L56" s="118"/>
      <c r="M56" s="118"/>
      <c r="N56" s="416" t="s">
        <v>179</v>
      </c>
      <c r="O56" s="238"/>
      <c r="P56" s="576"/>
      <c r="Q56" s="550"/>
      <c r="R56" s="229">
        <f t="shared" si="0"/>
        <v>-11444.692055618296</v>
      </c>
    </row>
    <row r="57" spans="1:18" s="210" customFormat="1" ht="19.5" customHeight="1" thickBot="1">
      <c r="A57" s="246"/>
      <c r="B57" s="123"/>
      <c r="C57" s="127"/>
      <c r="D57" s="127"/>
      <c r="E57" s="226"/>
      <c r="F57" s="226"/>
      <c r="G57" s="226"/>
      <c r="H57" s="226"/>
      <c r="I57" s="127">
        <v>16173.587083313178</v>
      </c>
      <c r="J57" s="226"/>
      <c r="K57" s="127">
        <v>16173.587083313178</v>
      </c>
      <c r="L57" s="127"/>
      <c r="M57" s="127"/>
      <c r="N57" s="253" t="s">
        <v>180</v>
      </c>
      <c r="O57" s="248"/>
      <c r="P57" s="576"/>
      <c r="Q57" s="550"/>
      <c r="R57" s="229">
        <f t="shared" si="0"/>
        <v>-16173.587083313178</v>
      </c>
    </row>
    <row r="58" spans="1:18" s="210" customFormat="1" ht="19.5" customHeight="1" thickBot="1">
      <c r="A58" s="246"/>
      <c r="B58" s="123"/>
      <c r="C58" s="118">
        <v>40000</v>
      </c>
      <c r="D58" s="118"/>
      <c r="E58" s="123"/>
      <c r="F58" s="118"/>
      <c r="G58" s="123">
        <v>2008</v>
      </c>
      <c r="H58" s="118">
        <v>40000</v>
      </c>
      <c r="I58" s="118">
        <v>9674.49632597526</v>
      </c>
      <c r="J58" s="118">
        <v>40000</v>
      </c>
      <c r="K58" s="118">
        <v>9674.49632597526</v>
      </c>
      <c r="L58" s="118"/>
      <c r="M58" s="118"/>
      <c r="N58" s="417" t="s">
        <v>172</v>
      </c>
      <c r="O58" s="235"/>
      <c r="P58" s="576"/>
      <c r="Q58" s="550"/>
      <c r="R58" s="229">
        <f t="shared" si="0"/>
        <v>30325.503674024738</v>
      </c>
    </row>
    <row r="59" spans="1:18" s="210" customFormat="1" ht="19.5" customHeight="1" thickBot="1">
      <c r="A59" s="246"/>
      <c r="B59" s="123"/>
      <c r="C59" s="118"/>
      <c r="D59" s="118"/>
      <c r="E59" s="123"/>
      <c r="F59" s="118"/>
      <c r="G59" s="123"/>
      <c r="H59" s="118"/>
      <c r="I59" s="118">
        <v>28051.41042148219</v>
      </c>
      <c r="J59" s="118"/>
      <c r="K59" s="118">
        <v>28051.41042148219</v>
      </c>
      <c r="L59" s="118"/>
      <c r="M59" s="118"/>
      <c r="N59" s="402" t="s">
        <v>181</v>
      </c>
      <c r="O59" s="238"/>
      <c r="P59" s="576"/>
      <c r="Q59" s="550"/>
      <c r="R59" s="229">
        <f t="shared" si="0"/>
        <v>-28051.41042148219</v>
      </c>
    </row>
    <row r="60" spans="1:18" s="210" customFormat="1" ht="19.5" customHeight="1" thickBot="1">
      <c r="A60" s="246"/>
      <c r="B60" s="123"/>
      <c r="C60" s="118"/>
      <c r="D60" s="118"/>
      <c r="E60" s="123"/>
      <c r="F60" s="123"/>
      <c r="G60" s="123"/>
      <c r="H60" s="123"/>
      <c r="I60" s="118">
        <v>30752.60210334055</v>
      </c>
      <c r="J60" s="123"/>
      <c r="K60" s="118">
        <v>30752.60210334055</v>
      </c>
      <c r="L60" s="118"/>
      <c r="M60" s="118"/>
      <c r="N60" s="402" t="s">
        <v>182</v>
      </c>
      <c r="O60" s="238"/>
      <c r="P60" s="576"/>
      <c r="Q60" s="550"/>
      <c r="R60" s="229">
        <f t="shared" si="0"/>
        <v>-30752.60210334055</v>
      </c>
    </row>
    <row r="61" spans="1:18" s="210" customFormat="1" ht="19.5" customHeight="1" thickBot="1">
      <c r="A61" s="246"/>
      <c r="B61" s="123"/>
      <c r="C61" s="118"/>
      <c r="D61" s="118"/>
      <c r="E61" s="123"/>
      <c r="F61" s="123"/>
      <c r="G61" s="123"/>
      <c r="H61" s="123"/>
      <c r="I61" s="118">
        <v>4641.431679888846</v>
      </c>
      <c r="J61" s="123"/>
      <c r="K61" s="118">
        <v>4641.431679888846</v>
      </c>
      <c r="L61" s="118"/>
      <c r="M61" s="118"/>
      <c r="N61" s="402" t="s">
        <v>183</v>
      </c>
      <c r="O61" s="238"/>
      <c r="P61" s="576"/>
      <c r="Q61" s="550"/>
      <c r="R61" s="229">
        <f t="shared" si="0"/>
        <v>-4641.431679888846</v>
      </c>
    </row>
    <row r="62" spans="1:18" s="210" customFormat="1" ht="19.5" customHeight="1" thickBot="1">
      <c r="A62" s="246"/>
      <c r="B62" s="123"/>
      <c r="C62" s="118"/>
      <c r="D62" s="118"/>
      <c r="E62" s="123"/>
      <c r="F62" s="123"/>
      <c r="G62" s="123"/>
      <c r="H62" s="123"/>
      <c r="I62" s="118">
        <v>6906.81408089466</v>
      </c>
      <c r="J62" s="123"/>
      <c r="K62" s="118">
        <v>6906.81408089466</v>
      </c>
      <c r="L62" s="118"/>
      <c r="M62" s="118"/>
      <c r="N62" s="402" t="s">
        <v>184</v>
      </c>
      <c r="O62" s="238"/>
      <c r="P62" s="576"/>
      <c r="Q62" s="550"/>
      <c r="R62" s="229">
        <f t="shared" si="0"/>
        <v>-6906.81408089466</v>
      </c>
    </row>
    <row r="63" spans="1:18" s="210" customFormat="1" ht="19.5" customHeight="1" thickBot="1">
      <c r="A63" s="246"/>
      <c r="B63" s="123"/>
      <c r="C63" s="118"/>
      <c r="D63" s="118"/>
      <c r="E63" s="123"/>
      <c r="F63" s="123"/>
      <c r="G63" s="123"/>
      <c r="H63" s="123"/>
      <c r="I63" s="118">
        <v>6614.450133647132</v>
      </c>
      <c r="J63" s="123"/>
      <c r="K63" s="118">
        <v>6614.450133647132</v>
      </c>
      <c r="L63" s="118"/>
      <c r="M63" s="118"/>
      <c r="N63" s="402" t="s">
        <v>185</v>
      </c>
      <c r="O63" s="238"/>
      <c r="P63" s="576"/>
      <c r="Q63" s="550"/>
      <c r="R63" s="229">
        <f t="shared" si="0"/>
        <v>-6614.450133647132</v>
      </c>
    </row>
    <row r="64" spans="1:18" s="210" customFormat="1" ht="19.5" customHeight="1" thickBot="1">
      <c r="A64" s="246"/>
      <c r="B64" s="123"/>
      <c r="C64" s="118"/>
      <c r="D64" s="118"/>
      <c r="E64" s="123"/>
      <c r="F64" s="123"/>
      <c r="G64" s="123"/>
      <c r="H64" s="123"/>
      <c r="I64" s="118">
        <v>35892.84169773855</v>
      </c>
      <c r="J64" s="123"/>
      <c r="K64" s="118">
        <v>35892.84169773855</v>
      </c>
      <c r="L64" s="118"/>
      <c r="M64" s="118"/>
      <c r="N64" s="402" t="s">
        <v>180</v>
      </c>
      <c r="O64" s="238"/>
      <c r="P64" s="576"/>
      <c r="Q64" s="550"/>
      <c r="R64" s="229">
        <f t="shared" si="0"/>
        <v>-35892.84169773855</v>
      </c>
    </row>
    <row r="65" spans="1:18" s="210" customFormat="1" ht="19.5" customHeight="1" thickBot="1">
      <c r="A65" s="246"/>
      <c r="B65" s="123"/>
      <c r="C65" s="118"/>
      <c r="D65" s="118"/>
      <c r="E65" s="123"/>
      <c r="F65" s="123"/>
      <c r="G65" s="123"/>
      <c r="H65" s="123"/>
      <c r="I65" s="118">
        <v>3532.7498294789493</v>
      </c>
      <c r="J65" s="123"/>
      <c r="K65" s="118">
        <v>3532.7498294789493</v>
      </c>
      <c r="L65" s="118"/>
      <c r="M65" s="118"/>
      <c r="N65" s="402" t="s">
        <v>186</v>
      </c>
      <c r="O65" s="238"/>
      <c r="P65" s="576"/>
      <c r="Q65" s="550"/>
      <c r="R65" s="229">
        <f t="shared" si="0"/>
        <v>-3532.7498294789493</v>
      </c>
    </row>
    <row r="66" spans="1:18" s="210" customFormat="1" ht="19.5" customHeight="1" thickBot="1">
      <c r="A66" s="246"/>
      <c r="B66" s="123"/>
      <c r="C66" s="118"/>
      <c r="D66" s="118"/>
      <c r="E66" s="123"/>
      <c r="F66" s="123"/>
      <c r="G66" s="123"/>
      <c r="H66" s="123"/>
      <c r="I66" s="118">
        <v>28145.604916226373</v>
      </c>
      <c r="J66" s="123"/>
      <c r="K66" s="118">
        <v>28145.604916226373</v>
      </c>
      <c r="L66" s="118"/>
      <c r="M66" s="118"/>
      <c r="N66" s="402" t="s">
        <v>187</v>
      </c>
      <c r="O66" s="238"/>
      <c r="P66" s="576"/>
      <c r="Q66" s="550"/>
      <c r="R66" s="229">
        <f t="shared" si="0"/>
        <v>-28145.604916226373</v>
      </c>
    </row>
    <row r="67" spans="1:18" s="210" customFormat="1" ht="19.5" customHeight="1" thickBot="1">
      <c r="A67" s="246"/>
      <c r="B67" s="123"/>
      <c r="C67" s="118"/>
      <c r="D67" s="118"/>
      <c r="E67" s="123"/>
      <c r="F67" s="123"/>
      <c r="G67" s="123"/>
      <c r="H67" s="123"/>
      <c r="I67" s="118">
        <v>3883.909351800651</v>
      </c>
      <c r="J67" s="123"/>
      <c r="K67" s="118">
        <v>3883.909351800651</v>
      </c>
      <c r="L67" s="118"/>
      <c r="M67" s="118"/>
      <c r="N67" s="402" t="s">
        <v>188</v>
      </c>
      <c r="O67" s="238"/>
      <c r="P67" s="576"/>
      <c r="Q67" s="550"/>
      <c r="R67" s="229">
        <f t="shared" si="0"/>
        <v>-3883.909351800651</v>
      </c>
    </row>
    <row r="68" spans="1:18" s="210" customFormat="1" ht="19.5" customHeight="1" thickBot="1">
      <c r="A68" s="246"/>
      <c r="B68" s="123"/>
      <c r="C68" s="118"/>
      <c r="D68" s="118"/>
      <c r="E68" s="123"/>
      <c r="F68" s="123"/>
      <c r="G68" s="123"/>
      <c r="H68" s="123"/>
      <c r="I68" s="118">
        <v>2464.537660613615</v>
      </c>
      <c r="J68" s="123"/>
      <c r="K68" s="118">
        <v>2464.537660613615</v>
      </c>
      <c r="L68" s="118"/>
      <c r="M68" s="118"/>
      <c r="N68" s="402" t="s">
        <v>189</v>
      </c>
      <c r="O68" s="238"/>
      <c r="P68" s="576"/>
      <c r="Q68" s="550"/>
      <c r="R68" s="229">
        <f t="shared" si="0"/>
        <v>-2464.537660613615</v>
      </c>
    </row>
    <row r="69" spans="1:18" s="210" customFormat="1" ht="19.5" customHeight="1" thickBot="1">
      <c r="A69" s="246"/>
      <c r="B69" s="123"/>
      <c r="C69" s="118"/>
      <c r="D69" s="118"/>
      <c r="E69" s="123"/>
      <c r="F69" s="123"/>
      <c r="G69" s="123"/>
      <c r="H69" s="123"/>
      <c r="I69" s="118">
        <v>1722.1307238741829</v>
      </c>
      <c r="J69" s="123"/>
      <c r="K69" s="118">
        <v>1722.1307238741829</v>
      </c>
      <c r="L69" s="118"/>
      <c r="M69" s="118"/>
      <c r="N69" s="402" t="s">
        <v>190</v>
      </c>
      <c r="O69" s="238"/>
      <c r="P69" s="576"/>
      <c r="Q69" s="550"/>
      <c r="R69" s="229">
        <f t="shared" si="0"/>
        <v>-1722.1307238741829</v>
      </c>
    </row>
    <row r="70" spans="1:18" s="210" customFormat="1" ht="19.5" customHeight="1" thickBot="1">
      <c r="A70" s="246"/>
      <c r="B70" s="123"/>
      <c r="C70" s="118"/>
      <c r="D70" s="118"/>
      <c r="E70" s="123"/>
      <c r="F70" s="123"/>
      <c r="G70" s="123"/>
      <c r="H70" s="123"/>
      <c r="I70" s="118">
        <v>37652.91435277738</v>
      </c>
      <c r="J70" s="123"/>
      <c r="K70" s="118">
        <v>37652.91435277738</v>
      </c>
      <c r="L70" s="118"/>
      <c r="M70" s="118"/>
      <c r="N70" s="402" t="s">
        <v>191</v>
      </c>
      <c r="O70" s="238"/>
      <c r="P70" s="576"/>
      <c r="Q70" s="550"/>
      <c r="R70" s="229">
        <f t="shared" si="0"/>
        <v>-37652.91435277738</v>
      </c>
    </row>
    <row r="71" spans="1:18" s="210" customFormat="1" ht="19.5" customHeight="1" thickBot="1">
      <c r="A71" s="246"/>
      <c r="B71" s="123"/>
      <c r="C71" s="118"/>
      <c r="D71" s="118"/>
      <c r="E71" s="123"/>
      <c r="F71" s="123"/>
      <c r="G71" s="123"/>
      <c r="H71" s="123"/>
      <c r="I71" s="118">
        <v>2564.1008226434956</v>
      </c>
      <c r="J71" s="123"/>
      <c r="K71" s="118">
        <v>2564.1008226434956</v>
      </c>
      <c r="L71" s="118"/>
      <c r="M71" s="118"/>
      <c r="N71" s="402" t="s">
        <v>192</v>
      </c>
      <c r="O71" s="238"/>
      <c r="P71" s="576"/>
      <c r="Q71" s="550"/>
      <c r="R71" s="229">
        <f t="shared" si="0"/>
        <v>-2564.1008226434956</v>
      </c>
    </row>
    <row r="72" spans="1:18" s="210" customFormat="1" ht="19.5" customHeight="1" thickBot="1">
      <c r="A72" s="246"/>
      <c r="B72" s="123"/>
      <c r="C72" s="118"/>
      <c r="D72" s="118"/>
      <c r="E72" s="123"/>
      <c r="F72" s="123"/>
      <c r="G72" s="123"/>
      <c r="H72" s="123"/>
      <c r="I72" s="118">
        <v>4209.167084072637</v>
      </c>
      <c r="J72" s="123"/>
      <c r="K72" s="118">
        <v>4209.167084072637</v>
      </c>
      <c r="L72" s="118"/>
      <c r="M72" s="118"/>
      <c r="N72" s="402" t="s">
        <v>193</v>
      </c>
      <c r="O72" s="238"/>
      <c r="P72" s="576"/>
      <c r="Q72" s="550"/>
      <c r="R72" s="229">
        <f t="shared" si="0"/>
        <v>-4209.167084072637</v>
      </c>
    </row>
    <row r="73" spans="1:18" s="210" customFormat="1" ht="19.5" customHeight="1" thickBot="1">
      <c r="A73" s="246"/>
      <c r="B73" s="123"/>
      <c r="C73" s="118"/>
      <c r="D73" s="118"/>
      <c r="E73" s="123"/>
      <c r="F73" s="123"/>
      <c r="G73" s="123"/>
      <c r="H73" s="123"/>
      <c r="I73" s="118">
        <v>8067.899924442445</v>
      </c>
      <c r="J73" s="123"/>
      <c r="K73" s="118">
        <v>8067.899924442445</v>
      </c>
      <c r="L73" s="118"/>
      <c r="M73" s="118"/>
      <c r="N73" s="402" t="s">
        <v>194</v>
      </c>
      <c r="O73" s="238"/>
      <c r="P73" s="576"/>
      <c r="Q73" s="550"/>
      <c r="R73" s="229">
        <f t="shared" si="0"/>
        <v>-8067.899924442445</v>
      </c>
    </row>
    <row r="74" spans="1:18" s="210" customFormat="1" ht="19.5" customHeight="1" thickBot="1">
      <c r="A74" s="246"/>
      <c r="B74" s="123"/>
      <c r="C74" s="118"/>
      <c r="D74" s="118"/>
      <c r="E74" s="123"/>
      <c r="F74" s="123"/>
      <c r="G74" s="123"/>
      <c r="H74" s="123"/>
      <c r="I74" s="118">
        <v>518.4097257006053</v>
      </c>
      <c r="J74" s="123"/>
      <c r="K74" s="118">
        <v>518.4097257006053</v>
      </c>
      <c r="L74" s="118"/>
      <c r="M74" s="118"/>
      <c r="N74" s="402" t="s">
        <v>195</v>
      </c>
      <c r="O74" s="238"/>
      <c r="P74" s="576"/>
      <c r="Q74" s="550"/>
      <c r="R74" s="229">
        <f aca="true" t="shared" si="1" ref="R74:R137">+J74-K74-L74</f>
        <v>-518.4097257006053</v>
      </c>
    </row>
    <row r="75" spans="1:18" s="210" customFormat="1" ht="19.5" customHeight="1" thickBot="1">
      <c r="A75" s="246"/>
      <c r="B75" s="123"/>
      <c r="C75" s="118"/>
      <c r="D75" s="118"/>
      <c r="E75" s="123"/>
      <c r="F75" s="123"/>
      <c r="G75" s="123"/>
      <c r="H75" s="123"/>
      <c r="I75" s="118">
        <v>749.7856372727967</v>
      </c>
      <c r="J75" s="123"/>
      <c r="K75" s="118">
        <v>749.7856372727967</v>
      </c>
      <c r="L75" s="118"/>
      <c r="M75" s="118"/>
      <c r="N75" s="402" t="s">
        <v>196</v>
      </c>
      <c r="O75" s="238"/>
      <c r="P75" s="576"/>
      <c r="Q75" s="550"/>
      <c r="R75" s="229">
        <f t="shared" si="1"/>
        <v>-749.7856372727967</v>
      </c>
    </row>
    <row r="76" spans="1:18" s="210" customFormat="1" ht="19.5" customHeight="1" thickBot="1">
      <c r="A76" s="246"/>
      <c r="B76" s="123"/>
      <c r="C76" s="118"/>
      <c r="D76" s="118"/>
      <c r="E76" s="123"/>
      <c r="F76" s="123"/>
      <c r="G76" s="123"/>
      <c r="H76" s="123"/>
      <c r="I76" s="118">
        <v>358.4654175616134</v>
      </c>
      <c r="J76" s="123"/>
      <c r="K76" s="118">
        <v>358.4654175616134</v>
      </c>
      <c r="L76" s="118"/>
      <c r="M76" s="118"/>
      <c r="N76" s="402" t="s">
        <v>197</v>
      </c>
      <c r="O76" s="238"/>
      <c r="P76" s="576"/>
      <c r="Q76" s="550"/>
      <c r="R76" s="229">
        <f t="shared" si="1"/>
        <v>-358.4654175616134</v>
      </c>
    </row>
    <row r="77" spans="1:18" s="210" customFormat="1" ht="19.5" customHeight="1" thickBot="1">
      <c r="A77" s="246"/>
      <c r="B77" s="123"/>
      <c r="C77" s="118"/>
      <c r="D77" s="118"/>
      <c r="E77" s="123"/>
      <c r="F77" s="123"/>
      <c r="G77" s="123"/>
      <c r="H77" s="123"/>
      <c r="I77" s="118">
        <v>451.3417833280981</v>
      </c>
      <c r="J77" s="123"/>
      <c r="K77" s="118">
        <v>451.3417833280981</v>
      </c>
      <c r="L77" s="118"/>
      <c r="M77" s="118"/>
      <c r="N77" s="402" t="s">
        <v>198</v>
      </c>
      <c r="O77" s="238"/>
      <c r="P77" s="576"/>
      <c r="Q77" s="550"/>
      <c r="R77" s="229">
        <f t="shared" si="1"/>
        <v>-451.3417833280981</v>
      </c>
    </row>
    <row r="78" spans="1:18" s="210" customFormat="1" ht="19.5" customHeight="1" thickBot="1">
      <c r="A78" s="246"/>
      <c r="B78" s="123"/>
      <c r="C78" s="118"/>
      <c r="D78" s="118"/>
      <c r="E78" s="123"/>
      <c r="F78" s="123"/>
      <c r="G78" s="123"/>
      <c r="H78" s="123"/>
      <c r="I78" s="118">
        <v>16858.01122326833</v>
      </c>
      <c r="J78" s="123"/>
      <c r="K78" s="118">
        <v>16858.01122326833</v>
      </c>
      <c r="L78" s="118"/>
      <c r="M78" s="118"/>
      <c r="N78" s="402" t="s">
        <v>199</v>
      </c>
      <c r="O78" s="238"/>
      <c r="P78" s="576"/>
      <c r="Q78" s="550"/>
      <c r="R78" s="229">
        <f t="shared" si="1"/>
        <v>-16858.01122326833</v>
      </c>
    </row>
    <row r="79" spans="1:18" s="210" customFormat="1" ht="24" customHeight="1" thickBot="1">
      <c r="A79" s="246"/>
      <c r="B79" s="123"/>
      <c r="C79" s="118"/>
      <c r="D79" s="118"/>
      <c r="E79" s="123"/>
      <c r="F79" s="123"/>
      <c r="G79" s="123"/>
      <c r="H79" s="123"/>
      <c r="I79" s="118">
        <v>2118.073537027447</v>
      </c>
      <c r="J79" s="123"/>
      <c r="K79" s="118">
        <v>2118.073537027447</v>
      </c>
      <c r="L79" s="118"/>
      <c r="M79" s="118"/>
      <c r="N79" s="402" t="s">
        <v>200</v>
      </c>
      <c r="O79" s="238"/>
      <c r="P79" s="576"/>
      <c r="Q79" s="550"/>
      <c r="R79" s="229">
        <f t="shared" si="1"/>
        <v>-2118.073537027447</v>
      </c>
    </row>
    <row r="80" spans="1:18" s="210" customFormat="1" ht="40.5" customHeight="1" thickBot="1">
      <c r="A80" s="246"/>
      <c r="B80" s="123"/>
      <c r="C80" s="118"/>
      <c r="D80" s="118"/>
      <c r="E80" s="123"/>
      <c r="F80" s="123"/>
      <c r="G80" s="123"/>
      <c r="H80" s="123"/>
      <c r="I80" s="118">
        <v>12937.185353719724</v>
      </c>
      <c r="J80" s="123"/>
      <c r="K80" s="118">
        <v>12937.185353719724</v>
      </c>
      <c r="L80" s="118"/>
      <c r="M80" s="118"/>
      <c r="N80" s="402" t="s">
        <v>201</v>
      </c>
      <c r="O80" s="238"/>
      <c r="P80" s="576"/>
      <c r="Q80" s="550"/>
      <c r="R80" s="229">
        <f t="shared" si="1"/>
        <v>-12937.185353719724</v>
      </c>
    </row>
    <row r="81" spans="1:18" s="210" customFormat="1" ht="33" customHeight="1" thickBot="1">
      <c r="A81" s="246"/>
      <c r="B81" s="123"/>
      <c r="C81" s="127"/>
      <c r="D81" s="127"/>
      <c r="E81" s="226"/>
      <c r="F81" s="226"/>
      <c r="G81" s="226"/>
      <c r="H81" s="226"/>
      <c r="I81" s="127">
        <v>3128.9147727755094</v>
      </c>
      <c r="J81" s="226"/>
      <c r="K81" s="127">
        <v>3128.9147727755094</v>
      </c>
      <c r="L81" s="127"/>
      <c r="M81" s="127"/>
      <c r="N81" s="255" t="s">
        <v>202</v>
      </c>
      <c r="O81" s="251"/>
      <c r="P81" s="578"/>
      <c r="Q81" s="551"/>
      <c r="R81" s="229">
        <f t="shared" si="1"/>
        <v>-3128.9147727755094</v>
      </c>
    </row>
    <row r="82" spans="1:18" s="257" customFormat="1" ht="34.5" customHeight="1" thickBot="1">
      <c r="A82" s="246"/>
      <c r="B82" s="123"/>
      <c r="C82" s="133">
        <v>20000</v>
      </c>
      <c r="D82" s="133"/>
      <c r="E82" s="243"/>
      <c r="F82" s="133"/>
      <c r="G82" s="243">
        <v>2009</v>
      </c>
      <c r="H82" s="133">
        <v>20000</v>
      </c>
      <c r="I82" s="133">
        <v>13922.96525201416</v>
      </c>
      <c r="J82" s="133">
        <v>20000</v>
      </c>
      <c r="K82" s="133">
        <v>13922.96525201416</v>
      </c>
      <c r="L82" s="133"/>
      <c r="M82" s="133"/>
      <c r="N82" s="256" t="s">
        <v>203</v>
      </c>
      <c r="O82" s="245"/>
      <c r="P82" s="575" t="s">
        <v>204</v>
      </c>
      <c r="Q82" s="575" t="s">
        <v>140</v>
      </c>
      <c r="R82" s="229">
        <f t="shared" si="1"/>
        <v>6077.034747985839</v>
      </c>
    </row>
    <row r="83" spans="1:18" s="210" customFormat="1" ht="24.75" customHeight="1" thickBot="1">
      <c r="A83" s="246"/>
      <c r="B83" s="123"/>
      <c r="C83" s="118"/>
      <c r="D83" s="118"/>
      <c r="E83" s="123"/>
      <c r="F83" s="123"/>
      <c r="G83" s="123"/>
      <c r="H83" s="123"/>
      <c r="I83" s="118">
        <v>-4476.420100007641</v>
      </c>
      <c r="J83" s="123"/>
      <c r="K83" s="118">
        <v>-4476.420100007641</v>
      </c>
      <c r="L83" s="118"/>
      <c r="M83" s="118"/>
      <c r="N83" s="418" t="s">
        <v>199</v>
      </c>
      <c r="O83" s="238"/>
      <c r="P83" s="576"/>
      <c r="Q83" s="576"/>
      <c r="R83" s="229">
        <f t="shared" si="1"/>
        <v>4476.420100007641</v>
      </c>
    </row>
    <row r="84" spans="1:18" s="210" customFormat="1" ht="34.5" customHeight="1" thickBot="1">
      <c r="A84" s="246"/>
      <c r="B84" s="123"/>
      <c r="C84" s="118"/>
      <c r="D84" s="118"/>
      <c r="E84" s="123"/>
      <c r="F84" s="123"/>
      <c r="G84" s="123"/>
      <c r="H84" s="123"/>
      <c r="I84" s="118">
        <v>-333.60783081899297</v>
      </c>
      <c r="J84" s="123"/>
      <c r="K84" s="118">
        <v>-333.60783081899297</v>
      </c>
      <c r="L84" s="118"/>
      <c r="M84" s="118"/>
      <c r="N84" s="418" t="s">
        <v>202</v>
      </c>
      <c r="O84" s="238"/>
      <c r="P84" s="576"/>
      <c r="Q84" s="576"/>
      <c r="R84" s="229">
        <f t="shared" si="1"/>
        <v>333.60783081899297</v>
      </c>
    </row>
    <row r="85" spans="1:18" s="210" customFormat="1" ht="21" customHeight="1" thickBot="1">
      <c r="A85" s="246"/>
      <c r="B85" s="123"/>
      <c r="C85" s="118"/>
      <c r="D85" s="118"/>
      <c r="E85" s="123"/>
      <c r="F85" s="123"/>
      <c r="G85" s="123"/>
      <c r="H85" s="123"/>
      <c r="I85" s="118">
        <v>6171.33736872936</v>
      </c>
      <c r="J85" s="123"/>
      <c r="K85" s="118">
        <v>6171.33736872936</v>
      </c>
      <c r="L85" s="118"/>
      <c r="M85" s="118"/>
      <c r="N85" s="418" t="s">
        <v>205</v>
      </c>
      <c r="O85" s="238"/>
      <c r="P85" s="576"/>
      <c r="Q85" s="576"/>
      <c r="R85" s="229">
        <f t="shared" si="1"/>
        <v>-6171.33736872936</v>
      </c>
    </row>
    <row r="86" spans="1:18" s="210" customFormat="1" ht="34.5" customHeight="1" thickBot="1">
      <c r="A86" s="246"/>
      <c r="B86" s="123"/>
      <c r="C86" s="118"/>
      <c r="D86" s="118"/>
      <c r="E86" s="123"/>
      <c r="F86" s="123"/>
      <c r="G86" s="123"/>
      <c r="H86" s="123"/>
      <c r="I86" s="118">
        <v>2170.8959088555152</v>
      </c>
      <c r="J86" s="123"/>
      <c r="K86" s="118">
        <v>2170.8959088555152</v>
      </c>
      <c r="L86" s="118"/>
      <c r="M86" s="118"/>
      <c r="N86" s="418" t="s">
        <v>206</v>
      </c>
      <c r="O86" s="238"/>
      <c r="P86" s="576"/>
      <c r="Q86" s="576"/>
      <c r="R86" s="229">
        <f t="shared" si="1"/>
        <v>-2170.8959088555152</v>
      </c>
    </row>
    <row r="87" spans="1:18" s="210" customFormat="1" ht="57.75" customHeight="1" thickBot="1">
      <c r="A87" s="246"/>
      <c r="B87" s="123"/>
      <c r="C87" s="127"/>
      <c r="D87" s="127"/>
      <c r="E87" s="226"/>
      <c r="F87" s="226"/>
      <c r="G87" s="226"/>
      <c r="H87" s="226"/>
      <c r="I87" s="127">
        <v>1176.1170208250205</v>
      </c>
      <c r="J87" s="226"/>
      <c r="K87" s="127">
        <v>1176.1170208250205</v>
      </c>
      <c r="L87" s="118"/>
      <c r="M87" s="118"/>
      <c r="N87" s="259" t="s">
        <v>201</v>
      </c>
      <c r="O87" s="242"/>
      <c r="P87" s="578"/>
      <c r="Q87" s="576"/>
      <c r="R87" s="229">
        <f t="shared" si="1"/>
        <v>-1176.1170208250205</v>
      </c>
    </row>
    <row r="88" spans="1:18" s="210" customFormat="1" ht="34.5" customHeight="1" thickBot="1">
      <c r="A88" s="246"/>
      <c r="B88" s="123"/>
      <c r="C88" s="133">
        <v>40000</v>
      </c>
      <c r="D88" s="133"/>
      <c r="E88" s="243"/>
      <c r="F88" s="133"/>
      <c r="G88" s="243">
        <v>2010</v>
      </c>
      <c r="H88" s="133">
        <v>40000</v>
      </c>
      <c r="I88" s="133">
        <v>10449.667461860414</v>
      </c>
      <c r="J88" s="133">
        <v>40000</v>
      </c>
      <c r="K88" s="260">
        <v>10449.667461860414</v>
      </c>
      <c r="L88" s="133"/>
      <c r="M88" s="133"/>
      <c r="N88" s="419" t="s">
        <v>207</v>
      </c>
      <c r="O88" s="245"/>
      <c r="P88" s="583" t="s">
        <v>208</v>
      </c>
      <c r="Q88" s="576"/>
      <c r="R88" s="229">
        <f t="shared" si="1"/>
        <v>29550.332538139584</v>
      </c>
    </row>
    <row r="89" spans="1:18" s="210" customFormat="1" ht="34.5" customHeight="1" thickBot="1">
      <c r="A89" s="246"/>
      <c r="B89" s="123"/>
      <c r="C89" s="118"/>
      <c r="D89" s="118"/>
      <c r="E89" s="123"/>
      <c r="F89" s="118"/>
      <c r="G89" s="123"/>
      <c r="H89" s="118"/>
      <c r="I89" s="118">
        <v>7593.126809348762</v>
      </c>
      <c r="J89" s="118"/>
      <c r="K89" s="249">
        <v>7593.126809348762</v>
      </c>
      <c r="L89" s="118"/>
      <c r="M89" s="118"/>
      <c r="N89" s="418" t="s">
        <v>209</v>
      </c>
      <c r="O89" s="238"/>
      <c r="P89" s="584"/>
      <c r="Q89" s="576"/>
      <c r="R89" s="229">
        <f t="shared" si="1"/>
        <v>-7593.126809348762</v>
      </c>
    </row>
    <row r="90" spans="1:18" s="210" customFormat="1" ht="16.5" thickBot="1">
      <c r="A90" s="246"/>
      <c r="B90" s="123"/>
      <c r="C90" s="127"/>
      <c r="D90" s="127"/>
      <c r="E90" s="226"/>
      <c r="F90" s="127"/>
      <c r="G90" s="226"/>
      <c r="H90" s="127"/>
      <c r="I90" s="127">
        <v>2580.672547138576</v>
      </c>
      <c r="J90" s="127"/>
      <c r="K90" s="261">
        <v>2580.672547138576</v>
      </c>
      <c r="L90" s="127"/>
      <c r="M90" s="127"/>
      <c r="N90" s="420" t="s">
        <v>210</v>
      </c>
      <c r="O90" s="248"/>
      <c r="P90" s="585"/>
      <c r="Q90" s="576"/>
      <c r="R90" s="229">
        <f t="shared" si="1"/>
        <v>-2580.672547138576</v>
      </c>
    </row>
    <row r="91" spans="1:18" s="210" customFormat="1" ht="34.5" customHeight="1" thickBot="1">
      <c r="A91" s="246"/>
      <c r="B91" s="123"/>
      <c r="C91" s="133">
        <v>20000</v>
      </c>
      <c r="D91" s="133"/>
      <c r="E91" s="243"/>
      <c r="F91" s="133"/>
      <c r="G91" s="243">
        <v>2011</v>
      </c>
      <c r="H91" s="133">
        <v>20000</v>
      </c>
      <c r="I91" s="133">
        <v>15021.690961109083</v>
      </c>
      <c r="J91" s="133">
        <v>20000</v>
      </c>
      <c r="K91" s="133">
        <v>15021.690961109083</v>
      </c>
      <c r="L91" s="133"/>
      <c r="M91" s="133"/>
      <c r="N91" s="421" t="s">
        <v>211</v>
      </c>
      <c r="O91" s="245"/>
      <c r="P91" s="575" t="s">
        <v>208</v>
      </c>
      <c r="Q91" s="576"/>
      <c r="R91" s="229">
        <f t="shared" si="1"/>
        <v>4978.309038890917</v>
      </c>
    </row>
    <row r="92" spans="1:18" s="210" customFormat="1" ht="34.5" customHeight="1" thickBot="1">
      <c r="A92" s="246"/>
      <c r="B92" s="123"/>
      <c r="C92" s="118"/>
      <c r="D92" s="118"/>
      <c r="E92" s="123"/>
      <c r="F92" s="123"/>
      <c r="G92" s="123"/>
      <c r="H92" s="123"/>
      <c r="I92" s="118">
        <v>2384.6034077306417</v>
      </c>
      <c r="J92" s="123"/>
      <c r="K92" s="118">
        <v>2384.6034077306417</v>
      </c>
      <c r="L92" s="118"/>
      <c r="M92" s="118"/>
      <c r="N92" s="418" t="s">
        <v>212</v>
      </c>
      <c r="O92" s="238"/>
      <c r="P92" s="576"/>
      <c r="Q92" s="576"/>
      <c r="R92" s="229">
        <f t="shared" si="1"/>
        <v>-2384.6034077306417</v>
      </c>
    </row>
    <row r="93" spans="1:18" s="210" customFormat="1" ht="34.5" customHeight="1" thickBot="1">
      <c r="A93" s="246"/>
      <c r="B93" s="123"/>
      <c r="C93" s="118"/>
      <c r="D93" s="118"/>
      <c r="E93" s="123"/>
      <c r="F93" s="123"/>
      <c r="G93" s="123"/>
      <c r="H93" s="123"/>
      <c r="I93" s="118">
        <v>8872.103980779517</v>
      </c>
      <c r="J93" s="123"/>
      <c r="K93" s="118">
        <v>8872.103980779517</v>
      </c>
      <c r="L93" s="118"/>
      <c r="M93" s="118"/>
      <c r="N93" s="418" t="s">
        <v>213</v>
      </c>
      <c r="O93" s="238"/>
      <c r="P93" s="576"/>
      <c r="Q93" s="576"/>
      <c r="R93" s="229">
        <f t="shared" si="1"/>
        <v>-8872.103980779517</v>
      </c>
    </row>
    <row r="94" spans="1:18" s="210" customFormat="1" ht="34.5" customHeight="1" thickBot="1">
      <c r="A94" s="246"/>
      <c r="B94" s="123"/>
      <c r="C94" s="118"/>
      <c r="D94" s="118"/>
      <c r="E94" s="123"/>
      <c r="F94" s="123"/>
      <c r="G94" s="123"/>
      <c r="H94" s="123"/>
      <c r="I94" s="118">
        <v>8125.187832686708</v>
      </c>
      <c r="J94" s="123"/>
      <c r="K94" s="118">
        <v>8125.187832686708</v>
      </c>
      <c r="L94" s="118"/>
      <c r="M94" s="118"/>
      <c r="N94" s="418" t="s">
        <v>214</v>
      </c>
      <c r="O94" s="238"/>
      <c r="P94" s="576"/>
      <c r="Q94" s="576"/>
      <c r="R94" s="229">
        <f t="shared" si="1"/>
        <v>-8125.187832686708</v>
      </c>
    </row>
    <row r="95" spans="1:18" s="210" customFormat="1" ht="34.5" customHeight="1" thickBot="1">
      <c r="A95" s="246"/>
      <c r="B95" s="123"/>
      <c r="C95" s="118"/>
      <c r="D95" s="118"/>
      <c r="E95" s="123"/>
      <c r="F95" s="118"/>
      <c r="G95" s="123"/>
      <c r="H95" s="118"/>
      <c r="I95" s="118">
        <v>7897.360579331188</v>
      </c>
      <c r="J95" s="118"/>
      <c r="K95" s="118">
        <v>7897.360579331188</v>
      </c>
      <c r="L95" s="118"/>
      <c r="M95" s="118"/>
      <c r="N95" s="418" t="s">
        <v>215</v>
      </c>
      <c r="O95" s="238"/>
      <c r="P95" s="576"/>
      <c r="Q95" s="576"/>
      <c r="R95" s="229">
        <f t="shared" si="1"/>
        <v>-7897.360579331188</v>
      </c>
    </row>
    <row r="96" spans="1:18" s="210" customFormat="1" ht="34.5" customHeight="1" thickBot="1">
      <c r="A96" s="246"/>
      <c r="B96" s="123"/>
      <c r="C96" s="127"/>
      <c r="D96" s="127"/>
      <c r="E96" s="226"/>
      <c r="F96" s="226"/>
      <c r="G96" s="226"/>
      <c r="H96" s="226"/>
      <c r="I96" s="127">
        <v>24998</v>
      </c>
      <c r="J96" s="226"/>
      <c r="K96" s="127">
        <v>24998</v>
      </c>
      <c r="L96" s="127"/>
      <c r="M96" s="127"/>
      <c r="N96" s="422" t="s">
        <v>216</v>
      </c>
      <c r="O96" s="248"/>
      <c r="P96" s="578"/>
      <c r="Q96" s="578"/>
      <c r="R96" s="229">
        <f t="shared" si="1"/>
        <v>-24998</v>
      </c>
    </row>
    <row r="97" spans="1:18" s="210" customFormat="1" ht="34.5" customHeight="1" thickBot="1">
      <c r="A97" s="246"/>
      <c r="B97" s="123"/>
      <c r="C97" s="133">
        <v>20000</v>
      </c>
      <c r="D97" s="133"/>
      <c r="E97" s="243"/>
      <c r="F97" s="133"/>
      <c r="G97" s="243">
        <v>2012</v>
      </c>
      <c r="H97" s="133">
        <v>20000</v>
      </c>
      <c r="I97" s="133"/>
      <c r="J97" s="133">
        <v>20000</v>
      </c>
      <c r="K97" s="133">
        <v>-1054.4779251195528</v>
      </c>
      <c r="L97" s="133"/>
      <c r="M97" s="133"/>
      <c r="N97" s="421" t="s">
        <v>217</v>
      </c>
      <c r="O97" s="245"/>
      <c r="P97" s="575" t="s">
        <v>208</v>
      </c>
      <c r="Q97" s="575" t="s">
        <v>140</v>
      </c>
      <c r="R97" s="229">
        <f t="shared" si="1"/>
        <v>21054.477925119554</v>
      </c>
    </row>
    <row r="98" spans="1:18" s="210" customFormat="1" ht="34.5" customHeight="1" thickBot="1">
      <c r="A98" s="246"/>
      <c r="B98" s="123"/>
      <c r="C98" s="118"/>
      <c r="D98" s="118"/>
      <c r="E98" s="123"/>
      <c r="F98" s="123"/>
      <c r="G98" s="123"/>
      <c r="H98" s="123"/>
      <c r="I98" s="118"/>
      <c r="J98" s="123"/>
      <c r="K98" s="118">
        <v>40254.49333778961</v>
      </c>
      <c r="L98" s="118"/>
      <c r="M98" s="118"/>
      <c r="N98" s="418" t="s">
        <v>218</v>
      </c>
      <c r="O98" s="238"/>
      <c r="P98" s="576"/>
      <c r="Q98" s="576"/>
      <c r="R98" s="229">
        <f t="shared" si="1"/>
        <v>-40254.49333778961</v>
      </c>
    </row>
    <row r="99" spans="1:18" s="210" customFormat="1" ht="34.5" customHeight="1" thickBot="1">
      <c r="A99" s="246"/>
      <c r="B99" s="123"/>
      <c r="C99" s="118"/>
      <c r="D99" s="118"/>
      <c r="E99" s="123"/>
      <c r="F99" s="123"/>
      <c r="G99" s="123"/>
      <c r="H99" s="123"/>
      <c r="I99" s="118"/>
      <c r="J99" s="123"/>
      <c r="K99" s="118">
        <v>-2889.4735651767473</v>
      </c>
      <c r="L99" s="118"/>
      <c r="M99" s="118"/>
      <c r="N99" s="418" t="s">
        <v>219</v>
      </c>
      <c r="O99" s="238"/>
      <c r="P99" s="577"/>
      <c r="Q99" s="576"/>
      <c r="R99" s="229">
        <f t="shared" si="1"/>
        <v>2889.4735651767473</v>
      </c>
    </row>
    <row r="100" spans="1:18" s="210" customFormat="1" ht="34.5" customHeight="1" thickBot="1">
      <c r="A100" s="246"/>
      <c r="B100" s="123"/>
      <c r="C100" s="118"/>
      <c r="D100" s="118"/>
      <c r="E100" s="123"/>
      <c r="F100" s="123"/>
      <c r="G100" s="123"/>
      <c r="H100" s="123"/>
      <c r="I100" s="118"/>
      <c r="J100" s="123"/>
      <c r="K100" s="118">
        <v>3078.3457849279166</v>
      </c>
      <c r="L100" s="118"/>
      <c r="M100" s="118"/>
      <c r="N100" s="418" t="s">
        <v>220</v>
      </c>
      <c r="O100" s="238"/>
      <c r="P100" s="576" t="s">
        <v>204</v>
      </c>
      <c r="Q100" s="576"/>
      <c r="R100" s="229">
        <f t="shared" si="1"/>
        <v>-3078.3457849279166</v>
      </c>
    </row>
    <row r="101" spans="1:18" s="210" customFormat="1" ht="34.5" customHeight="1" thickBot="1">
      <c r="A101" s="246"/>
      <c r="B101" s="123"/>
      <c r="C101" s="118"/>
      <c r="D101" s="118"/>
      <c r="E101" s="123"/>
      <c r="F101" s="123"/>
      <c r="G101" s="123"/>
      <c r="H101" s="123"/>
      <c r="I101" s="118"/>
      <c r="J101" s="123"/>
      <c r="K101" s="118">
        <v>1731.9150326304652</v>
      </c>
      <c r="L101" s="118"/>
      <c r="M101" s="118"/>
      <c r="N101" s="418" t="s">
        <v>221</v>
      </c>
      <c r="O101" s="238"/>
      <c r="P101" s="579"/>
      <c r="Q101" s="576"/>
      <c r="R101" s="229">
        <f t="shared" si="1"/>
        <v>-1731.9150326304652</v>
      </c>
    </row>
    <row r="102" spans="1:18" s="210" customFormat="1" ht="34.5" customHeight="1" thickBot="1">
      <c r="A102" s="246"/>
      <c r="B102" s="123"/>
      <c r="C102" s="118"/>
      <c r="D102" s="118"/>
      <c r="E102" s="123"/>
      <c r="F102" s="123"/>
      <c r="G102" s="123"/>
      <c r="H102" s="123"/>
      <c r="I102" s="118"/>
      <c r="J102" s="123"/>
      <c r="K102" s="118">
        <v>2299.000773146438</v>
      </c>
      <c r="L102" s="118"/>
      <c r="M102" s="118"/>
      <c r="N102" s="418" t="s">
        <v>222</v>
      </c>
      <c r="O102" s="238"/>
      <c r="P102" s="579"/>
      <c r="Q102" s="576"/>
      <c r="R102" s="229">
        <f t="shared" si="1"/>
        <v>-2299.000773146438</v>
      </c>
    </row>
    <row r="103" spans="1:18" s="210" customFormat="1" ht="34.5" customHeight="1" thickBot="1">
      <c r="A103" s="246"/>
      <c r="B103" s="123"/>
      <c r="C103" s="118"/>
      <c r="D103" s="118"/>
      <c r="E103" s="123"/>
      <c r="F103" s="123"/>
      <c r="G103" s="123"/>
      <c r="H103" s="123"/>
      <c r="I103" s="118"/>
      <c r="J103" s="123"/>
      <c r="K103" s="118">
        <v>3799.792766599404</v>
      </c>
      <c r="L103" s="118"/>
      <c r="M103" s="118"/>
      <c r="N103" s="418" t="s">
        <v>223</v>
      </c>
      <c r="O103" s="238"/>
      <c r="P103" s="579"/>
      <c r="Q103" s="576"/>
      <c r="R103" s="229">
        <f t="shared" si="1"/>
        <v>-3799.792766599404</v>
      </c>
    </row>
    <row r="104" spans="1:18" s="210" customFormat="1" ht="34.5" customHeight="1" thickBot="1">
      <c r="A104" s="246"/>
      <c r="B104" s="123"/>
      <c r="C104" s="118"/>
      <c r="D104" s="118"/>
      <c r="E104" s="123"/>
      <c r="F104" s="123"/>
      <c r="G104" s="123"/>
      <c r="H104" s="123"/>
      <c r="I104" s="118"/>
      <c r="J104" s="123"/>
      <c r="K104" s="118">
        <v>1968.9685991977035</v>
      </c>
      <c r="L104" s="118"/>
      <c r="M104" s="118"/>
      <c r="N104" s="418" t="s">
        <v>224</v>
      </c>
      <c r="O104" s="238"/>
      <c r="P104" s="579"/>
      <c r="Q104" s="576"/>
      <c r="R104" s="229">
        <f t="shared" si="1"/>
        <v>-1968.9685991977035</v>
      </c>
    </row>
    <row r="105" spans="1:18" s="210" customFormat="1" ht="34.5" customHeight="1" thickBot="1">
      <c r="A105" s="246"/>
      <c r="B105" s="123"/>
      <c r="C105" s="118"/>
      <c r="D105" s="118"/>
      <c r="E105" s="123"/>
      <c r="F105" s="123"/>
      <c r="G105" s="123"/>
      <c r="H105" s="123"/>
      <c r="I105" s="118"/>
      <c r="J105" s="123"/>
      <c r="K105" s="118">
        <v>1854.1274544048824</v>
      </c>
      <c r="L105" s="118"/>
      <c r="M105" s="118"/>
      <c r="N105" s="418" t="s">
        <v>225</v>
      </c>
      <c r="O105" s="238"/>
      <c r="P105" s="579"/>
      <c r="Q105" s="576"/>
      <c r="R105" s="229">
        <f t="shared" si="1"/>
        <v>-1854.1274544048824</v>
      </c>
    </row>
    <row r="106" spans="1:18" s="210" customFormat="1" ht="34.5" customHeight="1" thickBot="1">
      <c r="A106" s="246"/>
      <c r="B106" s="123"/>
      <c r="C106" s="118"/>
      <c r="D106" s="118"/>
      <c r="E106" s="123"/>
      <c r="F106" s="123"/>
      <c r="G106" s="123"/>
      <c r="H106" s="123"/>
      <c r="I106" s="118"/>
      <c r="J106" s="123"/>
      <c r="K106" s="118">
        <v>1470.9048158730398</v>
      </c>
      <c r="L106" s="118"/>
      <c r="M106" s="118"/>
      <c r="N106" s="418" t="s">
        <v>226</v>
      </c>
      <c r="O106" s="238"/>
      <c r="P106" s="579"/>
      <c r="Q106" s="576"/>
      <c r="R106" s="229">
        <f t="shared" si="1"/>
        <v>-1470.9048158730398</v>
      </c>
    </row>
    <row r="107" spans="1:18" s="210" customFormat="1" ht="34.5" customHeight="1" thickBot="1">
      <c r="A107" s="246"/>
      <c r="B107" s="123"/>
      <c r="C107" s="118"/>
      <c r="D107" s="118"/>
      <c r="E107" s="123"/>
      <c r="F107" s="123"/>
      <c r="G107" s="123"/>
      <c r="H107" s="123"/>
      <c r="I107" s="118"/>
      <c r="J107" s="123"/>
      <c r="K107" s="118">
        <v>7786.7657098246555</v>
      </c>
      <c r="L107" s="118"/>
      <c r="M107" s="118"/>
      <c r="N107" s="418" t="s">
        <v>227</v>
      </c>
      <c r="O107" s="238"/>
      <c r="P107" s="579"/>
      <c r="Q107" s="576"/>
      <c r="R107" s="229">
        <f t="shared" si="1"/>
        <v>-7786.7657098246555</v>
      </c>
    </row>
    <row r="108" spans="1:18" s="210" customFormat="1" ht="34.5" customHeight="1" thickBot="1">
      <c r="A108" s="246"/>
      <c r="B108" s="123"/>
      <c r="C108" s="118"/>
      <c r="D108" s="118"/>
      <c r="E108" s="123"/>
      <c r="F108" s="123"/>
      <c r="G108" s="123"/>
      <c r="H108" s="123"/>
      <c r="I108" s="118"/>
      <c r="J108" s="123"/>
      <c r="K108" s="118">
        <v>20442.56141823369</v>
      </c>
      <c r="L108" s="118"/>
      <c r="M108" s="118"/>
      <c r="N108" s="418" t="s">
        <v>228</v>
      </c>
      <c r="O108" s="238"/>
      <c r="P108" s="579"/>
      <c r="Q108" s="576"/>
      <c r="R108" s="229">
        <f t="shared" si="1"/>
        <v>-20442.56141823369</v>
      </c>
    </row>
    <row r="109" spans="1:18" s="210" customFormat="1" ht="34.5" customHeight="1" thickBot="1">
      <c r="A109" s="246"/>
      <c r="B109" s="123"/>
      <c r="C109" s="118"/>
      <c r="D109" s="118"/>
      <c r="E109" s="123"/>
      <c r="F109" s="123"/>
      <c r="G109" s="123"/>
      <c r="H109" s="123"/>
      <c r="I109" s="118"/>
      <c r="J109" s="123"/>
      <c r="K109" s="118">
        <v>25252.353154529606</v>
      </c>
      <c r="L109" s="118"/>
      <c r="M109" s="118"/>
      <c r="N109" s="418" t="s">
        <v>229</v>
      </c>
      <c r="O109" s="238"/>
      <c r="P109" s="579"/>
      <c r="Q109" s="576"/>
      <c r="R109" s="229">
        <f t="shared" si="1"/>
        <v>-25252.353154529606</v>
      </c>
    </row>
    <row r="110" spans="1:18" s="210" customFormat="1" ht="34.5" customHeight="1" thickBot="1">
      <c r="A110" s="246"/>
      <c r="B110" s="123"/>
      <c r="C110" s="118"/>
      <c r="D110" s="118"/>
      <c r="E110" s="123"/>
      <c r="F110" s="123"/>
      <c r="G110" s="123"/>
      <c r="H110" s="123"/>
      <c r="I110" s="118"/>
      <c r="J110" s="123"/>
      <c r="K110" s="118">
        <v>13330.368069638464</v>
      </c>
      <c r="L110" s="118"/>
      <c r="M110" s="118"/>
      <c r="N110" s="418" t="s">
        <v>230</v>
      </c>
      <c r="O110" s="238"/>
      <c r="P110" s="579"/>
      <c r="Q110" s="576"/>
      <c r="R110" s="229">
        <f t="shared" si="1"/>
        <v>-13330.368069638464</v>
      </c>
    </row>
    <row r="111" spans="1:18" s="210" customFormat="1" ht="24.75" customHeight="1" thickBot="1">
      <c r="A111" s="246"/>
      <c r="B111" s="123"/>
      <c r="C111" s="118"/>
      <c r="D111" s="118"/>
      <c r="E111" s="123"/>
      <c r="F111" s="123"/>
      <c r="G111" s="123"/>
      <c r="H111" s="123"/>
      <c r="I111" s="118"/>
      <c r="J111" s="123"/>
      <c r="K111" s="118">
        <v>2920.8685039574543</v>
      </c>
      <c r="L111" s="118"/>
      <c r="M111" s="118"/>
      <c r="N111" s="418" t="s">
        <v>231</v>
      </c>
      <c r="O111" s="238"/>
      <c r="P111" s="579"/>
      <c r="Q111" s="576"/>
      <c r="R111" s="229">
        <f t="shared" si="1"/>
        <v>-2920.8685039574543</v>
      </c>
    </row>
    <row r="112" spans="1:18" s="210" customFormat="1" ht="34.5" customHeight="1" thickBot="1">
      <c r="A112" s="246"/>
      <c r="B112" s="123"/>
      <c r="C112" s="118"/>
      <c r="D112" s="118"/>
      <c r="E112" s="123"/>
      <c r="F112" s="123"/>
      <c r="G112" s="123"/>
      <c r="H112" s="123"/>
      <c r="I112" s="118"/>
      <c r="J112" s="123"/>
      <c r="K112" s="118">
        <v>6489.168106360649</v>
      </c>
      <c r="L112" s="118"/>
      <c r="M112" s="118"/>
      <c r="N112" s="418" t="s">
        <v>232</v>
      </c>
      <c r="O112" s="238"/>
      <c r="P112" s="579"/>
      <c r="Q112" s="576"/>
      <c r="R112" s="229">
        <f t="shared" si="1"/>
        <v>-6489.168106360649</v>
      </c>
    </row>
    <row r="113" spans="1:18" s="210" customFormat="1" ht="34.5" customHeight="1" thickBot="1">
      <c r="A113" s="246"/>
      <c r="B113" s="123"/>
      <c r="C113" s="118"/>
      <c r="D113" s="118"/>
      <c r="E113" s="123"/>
      <c r="F113" s="123"/>
      <c r="G113" s="123"/>
      <c r="H113" s="123"/>
      <c r="I113" s="118"/>
      <c r="J113" s="123"/>
      <c r="K113" s="118">
        <v>1654.0285104894353</v>
      </c>
      <c r="L113" s="118"/>
      <c r="M113" s="118"/>
      <c r="N113" s="418" t="s">
        <v>233</v>
      </c>
      <c r="O113" s="238"/>
      <c r="P113" s="579"/>
      <c r="Q113" s="576"/>
      <c r="R113" s="229">
        <f t="shared" si="1"/>
        <v>-1654.0285104894353</v>
      </c>
    </row>
    <row r="114" spans="1:18" s="210" customFormat="1" ht="34.5" customHeight="1" thickBot="1">
      <c r="A114" s="246"/>
      <c r="B114" s="123"/>
      <c r="C114" s="118"/>
      <c r="D114" s="118"/>
      <c r="E114" s="123"/>
      <c r="F114" s="123"/>
      <c r="G114" s="123"/>
      <c r="H114" s="123"/>
      <c r="I114" s="118"/>
      <c r="J114" s="123"/>
      <c r="K114" s="118">
        <v>2463.9235706505874</v>
      </c>
      <c r="L114" s="118"/>
      <c r="M114" s="118"/>
      <c r="N114" s="418" t="s">
        <v>234</v>
      </c>
      <c r="O114" s="238"/>
      <c r="P114" s="579"/>
      <c r="Q114" s="576"/>
      <c r="R114" s="229">
        <f t="shared" si="1"/>
        <v>-2463.9235706505874</v>
      </c>
    </row>
    <row r="115" spans="1:18" s="210" customFormat="1" ht="34.5" customHeight="1" thickBot="1">
      <c r="A115" s="246"/>
      <c r="B115" s="123"/>
      <c r="C115" s="118"/>
      <c r="D115" s="118"/>
      <c r="E115" s="123"/>
      <c r="F115" s="123"/>
      <c r="G115" s="123"/>
      <c r="H115" s="123"/>
      <c r="I115" s="118"/>
      <c r="J115" s="123"/>
      <c r="K115" s="118">
        <v>5082.995015585084</v>
      </c>
      <c r="L115" s="118"/>
      <c r="M115" s="118"/>
      <c r="N115" s="418" t="s">
        <v>235</v>
      </c>
      <c r="O115" s="238"/>
      <c r="P115" s="579"/>
      <c r="Q115" s="576"/>
      <c r="R115" s="229">
        <f t="shared" si="1"/>
        <v>-5082.995015585084</v>
      </c>
    </row>
    <row r="116" spans="1:18" s="210" customFormat="1" ht="34.5" customHeight="1" thickBot="1">
      <c r="A116" s="246"/>
      <c r="B116" s="123"/>
      <c r="C116" s="118"/>
      <c r="D116" s="118"/>
      <c r="E116" s="123"/>
      <c r="F116" s="123"/>
      <c r="G116" s="123"/>
      <c r="H116" s="123"/>
      <c r="I116" s="118"/>
      <c r="J116" s="123"/>
      <c r="K116" s="118">
        <v>1440.9896383383962</v>
      </c>
      <c r="L116" s="118"/>
      <c r="M116" s="118"/>
      <c r="N116" s="258" t="s">
        <v>236</v>
      </c>
      <c r="O116" s="238"/>
      <c r="P116" s="579"/>
      <c r="Q116" s="576"/>
      <c r="R116" s="229">
        <f t="shared" si="1"/>
        <v>-1440.9896383383962</v>
      </c>
    </row>
    <row r="117" spans="1:18" s="210" customFormat="1" ht="34.5" customHeight="1" thickBot="1">
      <c r="A117" s="246"/>
      <c r="B117" s="123"/>
      <c r="C117" s="118"/>
      <c r="D117" s="118"/>
      <c r="E117" s="123"/>
      <c r="F117" s="123"/>
      <c r="G117" s="123"/>
      <c r="H117" s="123"/>
      <c r="I117" s="118"/>
      <c r="J117" s="123"/>
      <c r="K117" s="118">
        <v>7690.852147218462</v>
      </c>
      <c r="L117" s="118"/>
      <c r="M117" s="118"/>
      <c r="N117" s="258" t="s">
        <v>237</v>
      </c>
      <c r="O117" s="238"/>
      <c r="P117" s="579"/>
      <c r="Q117" s="576"/>
      <c r="R117" s="229">
        <f t="shared" si="1"/>
        <v>-7690.852147218462</v>
      </c>
    </row>
    <row r="118" spans="1:18" s="210" customFormat="1" ht="34.5" customHeight="1" thickBot="1">
      <c r="A118" s="246"/>
      <c r="B118" s="123"/>
      <c r="C118" s="127"/>
      <c r="D118" s="127"/>
      <c r="E118" s="226"/>
      <c r="F118" s="226"/>
      <c r="G118" s="226"/>
      <c r="H118" s="226"/>
      <c r="I118" s="127"/>
      <c r="J118" s="226"/>
      <c r="K118" s="127">
        <v>8608.887591395413</v>
      </c>
      <c r="L118" s="127"/>
      <c r="M118" s="127"/>
      <c r="N118" s="263" t="s">
        <v>238</v>
      </c>
      <c r="O118" s="251"/>
      <c r="P118" s="580"/>
      <c r="Q118" s="578"/>
      <c r="R118" s="229">
        <f t="shared" si="1"/>
        <v>-8608.887591395413</v>
      </c>
    </row>
    <row r="119" spans="1:18" s="210" customFormat="1" ht="54.75" customHeight="1" thickBot="1">
      <c r="A119" s="246"/>
      <c r="B119" s="123"/>
      <c r="C119" s="133"/>
      <c r="D119" s="133"/>
      <c r="E119" s="243"/>
      <c r="F119" s="243"/>
      <c r="G119" s="243"/>
      <c r="H119" s="243"/>
      <c r="I119" s="133"/>
      <c r="J119" s="243"/>
      <c r="K119" s="133">
        <v>7285.036252169879</v>
      </c>
      <c r="L119" s="133"/>
      <c r="M119" s="133"/>
      <c r="N119" s="262" t="s">
        <v>239</v>
      </c>
      <c r="O119" s="245"/>
      <c r="P119" s="575" t="s">
        <v>204</v>
      </c>
      <c r="Q119" s="575" t="s">
        <v>140</v>
      </c>
      <c r="R119" s="229">
        <f t="shared" si="1"/>
        <v>-7285.036252169879</v>
      </c>
    </row>
    <row r="120" spans="1:18" s="210" customFormat="1" ht="34.5" customHeight="1" thickBot="1">
      <c r="A120" s="246"/>
      <c r="B120" s="123"/>
      <c r="C120" s="118"/>
      <c r="D120" s="118"/>
      <c r="E120" s="123"/>
      <c r="F120" s="123"/>
      <c r="G120" s="123"/>
      <c r="H120" s="123"/>
      <c r="I120" s="118"/>
      <c r="J120" s="123"/>
      <c r="K120" s="118">
        <v>3094.43923884916</v>
      </c>
      <c r="L120" s="118"/>
      <c r="M120" s="118"/>
      <c r="N120" s="258" t="s">
        <v>240</v>
      </c>
      <c r="O120" s="238"/>
      <c r="P120" s="576"/>
      <c r="Q120" s="576"/>
      <c r="R120" s="229">
        <f t="shared" si="1"/>
        <v>-3094.43923884916</v>
      </c>
    </row>
    <row r="121" spans="1:18" s="210" customFormat="1" ht="34.5" customHeight="1" thickBot="1">
      <c r="A121" s="246"/>
      <c r="B121" s="123"/>
      <c r="C121" s="118"/>
      <c r="D121" s="118"/>
      <c r="E121" s="123"/>
      <c r="F121" s="123"/>
      <c r="G121" s="123"/>
      <c r="H121" s="123"/>
      <c r="I121" s="118"/>
      <c r="J121" s="123"/>
      <c r="K121" s="118">
        <v>4329.915834759244</v>
      </c>
      <c r="L121" s="118"/>
      <c r="M121" s="118"/>
      <c r="N121" s="264" t="s">
        <v>241</v>
      </c>
      <c r="O121" s="265"/>
      <c r="P121" s="576"/>
      <c r="Q121" s="576"/>
      <c r="R121" s="229">
        <f t="shared" si="1"/>
        <v>-4329.915834759244</v>
      </c>
    </row>
    <row r="122" spans="1:18" s="210" customFormat="1" ht="34.5" customHeight="1" thickBot="1">
      <c r="A122" s="246"/>
      <c r="B122" s="123"/>
      <c r="C122" s="118"/>
      <c r="D122" s="118"/>
      <c r="E122" s="123"/>
      <c r="F122" s="123"/>
      <c r="G122" s="123"/>
      <c r="H122" s="123"/>
      <c r="I122" s="118"/>
      <c r="J122" s="123"/>
      <c r="K122" s="118">
        <v>5805.5408301072885</v>
      </c>
      <c r="L122" s="118"/>
      <c r="M122" s="118"/>
      <c r="N122" s="258" t="s">
        <v>242</v>
      </c>
      <c r="O122" s="238"/>
      <c r="P122" s="576"/>
      <c r="Q122" s="576"/>
      <c r="R122" s="229">
        <f t="shared" si="1"/>
        <v>-5805.5408301072885</v>
      </c>
    </row>
    <row r="123" spans="1:18" s="210" customFormat="1" ht="34.5" customHeight="1" thickBot="1">
      <c r="A123" s="246"/>
      <c r="B123" s="123"/>
      <c r="C123" s="118"/>
      <c r="D123" s="118"/>
      <c r="E123" s="123"/>
      <c r="F123" s="123"/>
      <c r="G123" s="123"/>
      <c r="H123" s="123"/>
      <c r="I123" s="118"/>
      <c r="J123" s="123"/>
      <c r="K123" s="118">
        <v>8613.816596356672</v>
      </c>
      <c r="L123" s="118"/>
      <c r="M123" s="118"/>
      <c r="N123" s="258" t="s">
        <v>243</v>
      </c>
      <c r="O123" s="238"/>
      <c r="P123" s="576"/>
      <c r="Q123" s="576"/>
      <c r="R123" s="229">
        <f t="shared" si="1"/>
        <v>-8613.816596356672</v>
      </c>
    </row>
    <row r="124" spans="1:18" s="210" customFormat="1" ht="34.5" customHeight="1" thickBot="1">
      <c r="A124" s="246"/>
      <c r="B124" s="123"/>
      <c r="C124" s="118"/>
      <c r="D124" s="118"/>
      <c r="E124" s="123"/>
      <c r="F124" s="123"/>
      <c r="G124" s="123"/>
      <c r="H124" s="123"/>
      <c r="I124" s="118"/>
      <c r="J124" s="123"/>
      <c r="K124" s="118">
        <v>2266.7964527704567</v>
      </c>
      <c r="L124" s="118"/>
      <c r="M124" s="118"/>
      <c r="N124" s="258" t="s">
        <v>244</v>
      </c>
      <c r="O124" s="238"/>
      <c r="P124" s="576"/>
      <c r="Q124" s="576"/>
      <c r="R124" s="229">
        <f t="shared" si="1"/>
        <v>-2266.7964527704567</v>
      </c>
    </row>
    <row r="125" spans="1:18" s="210" customFormat="1" ht="34.5" customHeight="1" thickBot="1">
      <c r="A125" s="246"/>
      <c r="B125" s="123"/>
      <c r="C125" s="118"/>
      <c r="D125" s="118"/>
      <c r="E125" s="123"/>
      <c r="F125" s="123"/>
      <c r="G125" s="123"/>
      <c r="H125" s="123"/>
      <c r="I125" s="118"/>
      <c r="J125" s="123"/>
      <c r="K125" s="118">
        <v>7714.058167220628</v>
      </c>
      <c r="L125" s="118"/>
      <c r="M125" s="118"/>
      <c r="N125" s="258" t="s">
        <v>245</v>
      </c>
      <c r="O125" s="238"/>
      <c r="P125" s="576"/>
      <c r="Q125" s="576"/>
      <c r="R125" s="229">
        <f t="shared" si="1"/>
        <v>-7714.058167220628</v>
      </c>
    </row>
    <row r="126" spans="1:18" s="210" customFormat="1" ht="34.5" customHeight="1" thickBot="1">
      <c r="A126" s="246"/>
      <c r="B126" s="123"/>
      <c r="C126" s="118"/>
      <c r="D126" s="118"/>
      <c r="E126" s="123"/>
      <c r="F126" s="123"/>
      <c r="G126" s="123"/>
      <c r="H126" s="123"/>
      <c r="I126" s="118"/>
      <c r="J126" s="123"/>
      <c r="K126" s="118">
        <v>4739.12248825433</v>
      </c>
      <c r="L126" s="118"/>
      <c r="M126" s="118"/>
      <c r="N126" s="258" t="s">
        <v>246</v>
      </c>
      <c r="O126" s="238"/>
      <c r="P126" s="576"/>
      <c r="Q126" s="576"/>
      <c r="R126" s="229">
        <f t="shared" si="1"/>
        <v>-4739.12248825433</v>
      </c>
    </row>
    <row r="127" spans="1:18" s="210" customFormat="1" ht="34.5" customHeight="1" thickBot="1">
      <c r="A127" s="246"/>
      <c r="B127" s="123"/>
      <c r="C127" s="118"/>
      <c r="D127" s="118"/>
      <c r="E127" s="123"/>
      <c r="F127" s="123"/>
      <c r="G127" s="123"/>
      <c r="H127" s="123"/>
      <c r="I127" s="118"/>
      <c r="J127" s="123"/>
      <c r="K127" s="118">
        <v>1869.0852974232716</v>
      </c>
      <c r="L127" s="118"/>
      <c r="M127" s="118"/>
      <c r="N127" s="258" t="s">
        <v>247</v>
      </c>
      <c r="O127" s="238"/>
      <c r="P127" s="576"/>
      <c r="Q127" s="576"/>
      <c r="R127" s="229">
        <f t="shared" si="1"/>
        <v>-1869.0852974232716</v>
      </c>
    </row>
    <row r="128" spans="1:18" s="210" customFormat="1" ht="53.25" customHeight="1" thickBot="1">
      <c r="A128" s="246"/>
      <c r="B128" s="123"/>
      <c r="C128" s="118"/>
      <c r="D128" s="118"/>
      <c r="E128" s="123"/>
      <c r="F128" s="123"/>
      <c r="G128" s="123"/>
      <c r="H128" s="123"/>
      <c r="I128" s="118"/>
      <c r="J128" s="123"/>
      <c r="K128" s="118">
        <v>18142.492902150156</v>
      </c>
      <c r="L128" s="118"/>
      <c r="M128" s="118"/>
      <c r="N128" s="258" t="s">
        <v>248</v>
      </c>
      <c r="O128" s="238"/>
      <c r="P128" s="576"/>
      <c r="Q128" s="576"/>
      <c r="R128" s="229">
        <f t="shared" si="1"/>
        <v>-18142.492902150156</v>
      </c>
    </row>
    <row r="129" spans="1:18" s="210" customFormat="1" ht="53.25" customHeight="1" thickBot="1">
      <c r="A129" s="246"/>
      <c r="B129" s="123"/>
      <c r="C129" s="118"/>
      <c r="D129" s="118"/>
      <c r="E129" s="123"/>
      <c r="F129" s="123"/>
      <c r="G129" s="123"/>
      <c r="H129" s="123"/>
      <c r="I129" s="118"/>
      <c r="J129" s="123"/>
      <c r="K129" s="118">
        <v>33244.21979061653</v>
      </c>
      <c r="L129" s="118"/>
      <c r="M129" s="118"/>
      <c r="N129" s="258" t="s">
        <v>249</v>
      </c>
      <c r="O129" s="238"/>
      <c r="P129" s="576"/>
      <c r="Q129" s="576"/>
      <c r="R129" s="229">
        <f t="shared" si="1"/>
        <v>-33244.21979061653</v>
      </c>
    </row>
    <row r="130" spans="1:18" s="210" customFormat="1" ht="34.5" customHeight="1" thickBot="1">
      <c r="A130" s="246"/>
      <c r="B130" s="123"/>
      <c r="C130" s="118"/>
      <c r="D130" s="118"/>
      <c r="E130" s="123"/>
      <c r="F130" s="123"/>
      <c r="G130" s="123"/>
      <c r="H130" s="123"/>
      <c r="I130" s="118"/>
      <c r="J130" s="123"/>
      <c r="K130" s="118">
        <v>11283.368991431305</v>
      </c>
      <c r="L130" s="118"/>
      <c r="M130" s="118"/>
      <c r="N130" s="258" t="s">
        <v>250</v>
      </c>
      <c r="O130" s="238"/>
      <c r="P130" s="576"/>
      <c r="Q130" s="576"/>
      <c r="R130" s="229">
        <f t="shared" si="1"/>
        <v>-11283.368991431305</v>
      </c>
    </row>
    <row r="131" spans="1:18" s="210" customFormat="1" ht="34.5" customHeight="1" thickBot="1">
      <c r="A131" s="246"/>
      <c r="B131" s="123"/>
      <c r="C131" s="118"/>
      <c r="D131" s="118"/>
      <c r="E131" s="123"/>
      <c r="F131" s="123"/>
      <c r="G131" s="123"/>
      <c r="H131" s="123"/>
      <c r="I131" s="118"/>
      <c r="J131" s="123"/>
      <c r="K131" s="118">
        <v>1111.2259742021174</v>
      </c>
      <c r="L131" s="118"/>
      <c r="M131" s="118"/>
      <c r="N131" s="258" t="s">
        <v>251</v>
      </c>
      <c r="O131" s="238"/>
      <c r="P131" s="576"/>
      <c r="Q131" s="576"/>
      <c r="R131" s="229">
        <f t="shared" si="1"/>
        <v>-1111.2259742021174</v>
      </c>
    </row>
    <row r="132" spans="1:18" s="210" customFormat="1" ht="34.5" customHeight="1" thickBot="1">
      <c r="A132" s="246"/>
      <c r="B132" s="123"/>
      <c r="C132" s="118"/>
      <c r="D132" s="118"/>
      <c r="E132" s="123"/>
      <c r="F132" s="123"/>
      <c r="G132" s="123"/>
      <c r="H132" s="123"/>
      <c r="I132" s="118"/>
      <c r="J132" s="123"/>
      <c r="K132" s="118">
        <v>11758.000781847913</v>
      </c>
      <c r="L132" s="118"/>
      <c r="M132" s="118"/>
      <c r="N132" s="258" t="s">
        <v>252</v>
      </c>
      <c r="O132" s="238"/>
      <c r="P132" s="576"/>
      <c r="Q132" s="576"/>
      <c r="R132" s="229">
        <f t="shared" si="1"/>
        <v>-11758.000781847913</v>
      </c>
    </row>
    <row r="133" spans="1:18" s="210" customFormat="1" ht="38.25" customHeight="1" thickBot="1">
      <c r="A133" s="246"/>
      <c r="B133" s="123"/>
      <c r="C133" s="127"/>
      <c r="D133" s="127"/>
      <c r="E133" s="226"/>
      <c r="F133" s="226"/>
      <c r="G133" s="226"/>
      <c r="H133" s="226"/>
      <c r="I133" s="127"/>
      <c r="J133" s="226"/>
      <c r="K133" s="127">
        <v>1318.129511455173</v>
      </c>
      <c r="L133" s="127"/>
      <c r="M133" s="127"/>
      <c r="N133" s="263" t="s">
        <v>253</v>
      </c>
      <c r="O133" s="251"/>
      <c r="P133" s="578"/>
      <c r="Q133" s="578"/>
      <c r="R133" s="229">
        <f t="shared" si="1"/>
        <v>-1318.129511455173</v>
      </c>
    </row>
    <row r="134" spans="1:18" s="210" customFormat="1" ht="34.5" customHeight="1" thickBot="1">
      <c r="A134" s="246"/>
      <c r="B134" s="226"/>
      <c r="C134" s="112">
        <v>20000</v>
      </c>
      <c r="D134" s="112"/>
      <c r="E134" s="28"/>
      <c r="F134" s="112"/>
      <c r="G134" s="28">
        <v>2013</v>
      </c>
      <c r="H134" s="112">
        <v>20000</v>
      </c>
      <c r="I134" s="112"/>
      <c r="J134" s="112">
        <v>20000</v>
      </c>
      <c r="K134" s="112">
        <v>471.14045181999876</v>
      </c>
      <c r="L134" s="127">
        <v>231813</v>
      </c>
      <c r="M134" s="127">
        <v>0</v>
      </c>
      <c r="N134" s="263" t="s">
        <v>253</v>
      </c>
      <c r="O134" s="231"/>
      <c r="P134" s="248"/>
      <c r="Q134" s="266"/>
      <c r="R134" s="229">
        <f t="shared" si="1"/>
        <v>-212284.14045181999</v>
      </c>
    </row>
    <row r="135" spans="1:18" s="210" customFormat="1" ht="34.5" customHeight="1" thickBot="1">
      <c r="A135" s="246"/>
      <c r="B135" s="226"/>
      <c r="C135" s="112">
        <v>20000</v>
      </c>
      <c r="D135" s="112"/>
      <c r="E135" s="28"/>
      <c r="F135" s="112"/>
      <c r="G135" s="28">
        <v>2014</v>
      </c>
      <c r="H135" s="112">
        <v>20000</v>
      </c>
      <c r="I135" s="112"/>
      <c r="J135" s="112">
        <v>20000</v>
      </c>
      <c r="K135" s="112">
        <v>0</v>
      </c>
      <c r="L135" s="112">
        <v>20000</v>
      </c>
      <c r="M135" s="112">
        <v>0</v>
      </c>
      <c r="N135" s="267"/>
      <c r="O135" s="231"/>
      <c r="P135" s="248"/>
      <c r="Q135" s="266"/>
      <c r="R135" s="229">
        <f t="shared" si="1"/>
        <v>0</v>
      </c>
    </row>
    <row r="136" spans="1:18" s="210" customFormat="1" ht="34.5" customHeight="1" thickBot="1">
      <c r="A136" s="246"/>
      <c r="B136" s="268"/>
      <c r="C136" s="112">
        <v>20000</v>
      </c>
      <c r="D136" s="112"/>
      <c r="E136" s="28"/>
      <c r="F136" s="112"/>
      <c r="G136" s="28">
        <v>2015</v>
      </c>
      <c r="H136" s="112">
        <v>20000</v>
      </c>
      <c r="I136" s="112"/>
      <c r="J136" s="112">
        <v>20000</v>
      </c>
      <c r="K136" s="112">
        <v>0</v>
      </c>
      <c r="L136" s="112">
        <v>20000</v>
      </c>
      <c r="M136" s="112">
        <v>0</v>
      </c>
      <c r="N136" s="267"/>
      <c r="O136" s="231"/>
      <c r="P136" s="248"/>
      <c r="Q136" s="266"/>
      <c r="R136" s="229">
        <f t="shared" si="1"/>
        <v>0</v>
      </c>
    </row>
    <row r="137" spans="1:18" s="210" customFormat="1" ht="34.5" customHeight="1" thickBot="1">
      <c r="A137" s="246"/>
      <c r="B137" s="268"/>
      <c r="C137" s="112">
        <v>20000</v>
      </c>
      <c r="D137" s="112"/>
      <c r="E137" s="28"/>
      <c r="F137" s="112"/>
      <c r="G137" s="28">
        <v>2016</v>
      </c>
      <c r="H137" s="112">
        <v>20000</v>
      </c>
      <c r="I137" s="112"/>
      <c r="J137" s="112">
        <v>20000</v>
      </c>
      <c r="K137" s="112">
        <v>0</v>
      </c>
      <c r="L137" s="112">
        <v>20000</v>
      </c>
      <c r="M137" s="112">
        <v>0</v>
      </c>
      <c r="N137" s="267"/>
      <c r="O137" s="231"/>
      <c r="P137" s="248"/>
      <c r="Q137" s="266"/>
      <c r="R137" s="229">
        <f t="shared" si="1"/>
        <v>0</v>
      </c>
    </row>
    <row r="138" spans="1:18" s="210" customFormat="1" ht="34.5" customHeight="1" thickBot="1">
      <c r="A138" s="246"/>
      <c r="B138" s="268"/>
      <c r="C138" s="112">
        <v>20000</v>
      </c>
      <c r="D138" s="112"/>
      <c r="E138" s="28"/>
      <c r="F138" s="112"/>
      <c r="G138" s="28">
        <v>2017</v>
      </c>
      <c r="H138" s="112">
        <v>20000</v>
      </c>
      <c r="I138" s="112"/>
      <c r="J138" s="112">
        <v>20000</v>
      </c>
      <c r="K138" s="112">
        <v>0</v>
      </c>
      <c r="L138" s="112">
        <v>20000</v>
      </c>
      <c r="M138" s="112">
        <v>0</v>
      </c>
      <c r="N138" s="267"/>
      <c r="O138" s="231"/>
      <c r="P138" s="248"/>
      <c r="Q138" s="266"/>
      <c r="R138" s="489">
        <f>+J138-K138-L138</f>
        <v>0</v>
      </c>
    </row>
    <row r="139" spans="1:18" s="210" customFormat="1" ht="34.5" customHeight="1" thickBot="1">
      <c r="A139" s="246"/>
      <c r="B139" s="487"/>
      <c r="C139" s="133">
        <v>20000</v>
      </c>
      <c r="D139" s="133"/>
      <c r="E139" s="243"/>
      <c r="F139" s="133"/>
      <c r="G139" s="243">
        <v>2018</v>
      </c>
      <c r="H139" s="133">
        <v>20000</v>
      </c>
      <c r="I139" s="133"/>
      <c r="J139" s="133">
        <v>20000</v>
      </c>
      <c r="K139" s="133">
        <v>0</v>
      </c>
      <c r="L139" s="133">
        <v>20000</v>
      </c>
      <c r="M139" s="133">
        <v>0</v>
      </c>
      <c r="N139" s="488"/>
      <c r="O139" s="234"/>
      <c r="P139" s="235"/>
      <c r="Q139" s="250"/>
      <c r="R139" s="495">
        <f>+J139-K139-L139</f>
        <v>0</v>
      </c>
    </row>
    <row r="140" spans="1:18" s="210" customFormat="1" ht="34.5" customHeight="1" thickBot="1">
      <c r="A140" s="246"/>
      <c r="B140" s="493"/>
      <c r="C140" s="133">
        <v>20000</v>
      </c>
      <c r="D140" s="494"/>
      <c r="E140" s="493"/>
      <c r="F140" s="494"/>
      <c r="G140" s="493">
        <v>2019</v>
      </c>
      <c r="H140" s="133">
        <v>20000</v>
      </c>
      <c r="I140" s="494"/>
      <c r="J140" s="494">
        <v>20000</v>
      </c>
      <c r="K140" s="494"/>
      <c r="L140" s="494">
        <v>20000</v>
      </c>
      <c r="M140" s="494"/>
      <c r="N140" s="258"/>
      <c r="O140" s="238"/>
      <c r="P140" s="238"/>
      <c r="Q140" s="238"/>
      <c r="R140" s="495">
        <f>+J140-K140-L140</f>
        <v>0</v>
      </c>
    </row>
    <row r="141" spans="1:18" s="210" customFormat="1" ht="21.75" thickBot="1">
      <c r="A141" s="269"/>
      <c r="B141" s="490" t="s">
        <v>5</v>
      </c>
      <c r="C141" s="148">
        <f>SUM(C9:C140)</f>
        <v>1377500</v>
      </c>
      <c r="D141" s="491"/>
      <c r="E141" s="270">
        <f>SUM(E9:E135)</f>
        <v>86.58</v>
      </c>
      <c r="F141" s="491"/>
      <c r="G141" s="492"/>
      <c r="H141" s="148">
        <f>SUM(H9:H140)</f>
        <v>1377500</v>
      </c>
      <c r="I141" s="148">
        <f>SUM(I9:I140)</f>
        <v>740054.9316515609</v>
      </c>
      <c r="J141" s="148">
        <f>SUM(J9:J140)</f>
        <v>1377500</v>
      </c>
      <c r="K141" s="148">
        <f>SUM(K9:K140)</f>
        <v>1025687.4943554639</v>
      </c>
      <c r="L141" s="148">
        <f>SUM(L9:L140)</f>
        <v>351813</v>
      </c>
      <c r="M141" s="148">
        <f>SUM(M9:M139)</f>
        <v>0</v>
      </c>
      <c r="N141" s="148"/>
      <c r="O141" s="148">
        <f>SUM(O9:O138)</f>
        <v>0</v>
      </c>
      <c r="P141" s="148">
        <f>SUM(P9:P138)</f>
        <v>0</v>
      </c>
      <c r="Q141" s="148">
        <f>SUM(Q9:Q138)</f>
        <v>0</v>
      </c>
      <c r="R141" s="148">
        <f>SUM(R9:R140)</f>
        <v>-0.49435546359745786</v>
      </c>
    </row>
    <row r="142" spans="2:18" s="210" customFormat="1" ht="15" customHeight="1">
      <c r="B142" s="272"/>
      <c r="C142" s="272"/>
      <c r="D142" s="272"/>
      <c r="F142" s="272"/>
      <c r="H142" s="272"/>
      <c r="I142" s="273"/>
      <c r="J142" s="273"/>
      <c r="K142" s="273"/>
      <c r="L142" s="273"/>
      <c r="M142" s="273"/>
      <c r="N142" s="274"/>
      <c r="O142" s="274"/>
      <c r="P142" s="274"/>
      <c r="Q142" s="274"/>
      <c r="R142" s="273"/>
    </row>
    <row r="143" spans="1:18" s="154" customFormat="1" ht="51" customHeight="1">
      <c r="A143" s="574"/>
      <c r="B143" s="574"/>
      <c r="C143" s="574"/>
      <c r="D143" s="574"/>
      <c r="E143" s="574"/>
      <c r="F143" s="574"/>
      <c r="G143" s="574"/>
      <c r="H143" s="574"/>
      <c r="I143" s="574"/>
      <c r="J143" s="574"/>
      <c r="K143" s="574"/>
      <c r="L143" s="574"/>
      <c r="M143" s="574"/>
      <c r="N143" s="574"/>
      <c r="O143" s="574"/>
      <c r="P143" s="574"/>
      <c r="Q143" s="574"/>
      <c r="R143" s="574"/>
    </row>
    <row r="144" spans="6:18" s="154" customFormat="1" ht="12.75">
      <c r="F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</row>
    <row r="145" spans="1:18" s="154" customFormat="1" ht="55.5" customHeight="1">
      <c r="A145" s="574"/>
      <c r="B145" s="574"/>
      <c r="C145" s="574"/>
      <c r="D145" s="574"/>
      <c r="E145" s="574"/>
      <c r="F145" s="574"/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</row>
    <row r="146" spans="2:4" s="154" customFormat="1" ht="12.75">
      <c r="B146" s="275"/>
      <c r="C146" s="275"/>
      <c r="D146" s="275"/>
    </row>
    <row r="147" spans="1:18" s="154" customFormat="1" ht="30" customHeight="1">
      <c r="A147" s="574"/>
      <c r="B147" s="574"/>
      <c r="C147" s="574"/>
      <c r="D147" s="574"/>
      <c r="E147" s="574"/>
      <c r="F147" s="574"/>
      <c r="G147" s="574"/>
      <c r="H147" s="574"/>
      <c r="I147" s="574"/>
      <c r="J147" s="574"/>
      <c r="K147" s="574"/>
      <c r="L147" s="574"/>
      <c r="M147" s="574"/>
      <c r="N147" s="574"/>
      <c r="O147" s="574"/>
      <c r="P147" s="574"/>
      <c r="Q147" s="574"/>
      <c r="R147" s="574"/>
    </row>
    <row r="148" spans="6:8" ht="12.75">
      <c r="F148" s="276"/>
      <c r="H148" s="276"/>
    </row>
    <row r="149" ht="21" customHeight="1">
      <c r="R149" s="277"/>
    </row>
    <row r="151" spans="9:13" ht="12.75">
      <c r="I151" s="276"/>
      <c r="J151" s="276"/>
      <c r="K151" s="276"/>
      <c r="L151" s="276"/>
      <c r="M151" s="276"/>
    </row>
  </sheetData>
  <sheetProtection/>
  <mergeCells count="27">
    <mergeCell ref="A1:R1"/>
    <mergeCell ref="A2:R2"/>
    <mergeCell ref="D4:D7"/>
    <mergeCell ref="E4:F6"/>
    <mergeCell ref="G4:H4"/>
    <mergeCell ref="J4:J7"/>
    <mergeCell ref="G5:H5"/>
    <mergeCell ref="G6:H6"/>
    <mergeCell ref="L4:L7"/>
    <mergeCell ref="M4:M7"/>
    <mergeCell ref="B9:B21"/>
    <mergeCell ref="P9:P47"/>
    <mergeCell ref="Q9:Q47"/>
    <mergeCell ref="P48:P81"/>
    <mergeCell ref="Q48:Q81"/>
    <mergeCell ref="P82:P87"/>
    <mergeCell ref="Q82:Q96"/>
    <mergeCell ref="P88:P90"/>
    <mergeCell ref="P91:P96"/>
    <mergeCell ref="A145:R145"/>
    <mergeCell ref="A147:R147"/>
    <mergeCell ref="P97:P99"/>
    <mergeCell ref="Q97:Q118"/>
    <mergeCell ref="P100:P118"/>
    <mergeCell ref="P119:P133"/>
    <mergeCell ref="Q119:Q133"/>
    <mergeCell ref="A143:R143"/>
  </mergeCells>
  <printOptions horizontalCentered="1"/>
  <pageMargins left="0.5" right="0" top="0.5" bottom="0.5" header="0.5" footer="0.5"/>
  <pageSetup fitToHeight="0" fitToWidth="1" horizontalDpi="600" verticalDpi="600" orientation="landscape" paperSize="9" scale="43" r:id="rId1"/>
  <headerFooter alignWithMargins="0">
    <oddFooter>&amp;L&amp;8&amp;Z&amp;F&amp;D&amp;C
</oddFooter>
  </headerFooter>
  <rowBreaks count="4" manualBreakCount="4">
    <brk id="47" max="17" man="1"/>
    <brk id="81" max="17" man="1"/>
    <brk id="96" max="17" man="1"/>
    <brk id="11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U142"/>
  <sheetViews>
    <sheetView view="pageBreakPreview" zoomScale="70" zoomScaleSheetLayoutView="70" zoomScalePageLayoutView="0" workbookViewId="0" topLeftCell="C115">
      <selection activeCell="L134" sqref="L134"/>
    </sheetView>
  </sheetViews>
  <sheetFormatPr defaultColWidth="9.140625" defaultRowHeight="12.75"/>
  <cols>
    <col min="1" max="1" width="29.140625" style="0" customWidth="1"/>
    <col min="2" max="2" width="25.57421875" style="0" bestFit="1" customWidth="1"/>
    <col min="3" max="3" width="13.8515625" style="0" bestFit="1" customWidth="1"/>
    <col min="4" max="4" width="12.57421875" style="0" bestFit="1" customWidth="1"/>
    <col min="5" max="5" width="15.7109375" style="0" bestFit="1" customWidth="1"/>
    <col min="6" max="6" width="13.8515625" style="0" customWidth="1"/>
    <col min="7" max="7" width="13.7109375" style="0" bestFit="1" customWidth="1"/>
    <col min="8" max="8" width="13.8515625" style="0" customWidth="1"/>
    <col min="9" max="9" width="21.28125" style="0" hidden="1" customWidth="1"/>
    <col min="10" max="10" width="21.57421875" style="0" hidden="1" customWidth="1"/>
    <col min="11" max="11" width="17.140625" style="0" customWidth="1"/>
    <col min="12" max="12" width="13.8515625" style="0" bestFit="1" customWidth="1"/>
    <col min="13" max="14" width="13.8515625" style="0" customWidth="1"/>
    <col min="15" max="15" width="107.8515625" style="0" customWidth="1"/>
    <col min="16" max="16" width="15.00390625" style="0" hidden="1" customWidth="1"/>
    <col min="17" max="17" width="23.28125" style="0" hidden="1" customWidth="1"/>
    <col min="18" max="18" width="21.421875" style="0" hidden="1" customWidth="1"/>
    <col min="19" max="19" width="16.7109375" style="0" bestFit="1" customWidth="1"/>
    <col min="20" max="20" width="10.57421875" style="0" bestFit="1" customWidth="1"/>
  </cols>
  <sheetData>
    <row r="1" spans="1:19" s="1" customFormat="1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spans="1:19" s="1" customFormat="1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="1" customFormat="1" ht="13.5" thickBot="1"/>
    <row r="4" spans="1:19" s="1" customFormat="1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278"/>
      <c r="J4" s="278"/>
      <c r="K4" s="536" t="s">
        <v>86</v>
      </c>
      <c r="L4" s="279"/>
      <c r="M4" s="552" t="s">
        <v>63</v>
      </c>
      <c r="N4" s="552" t="s">
        <v>424</v>
      </c>
      <c r="O4" s="212"/>
      <c r="P4" s="89"/>
      <c r="Q4" s="88"/>
      <c r="R4" s="88"/>
      <c r="S4" s="88"/>
    </row>
    <row r="5" spans="1:19" s="1" customFormat="1" ht="15.75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280"/>
      <c r="J5" s="280"/>
      <c r="K5" s="545"/>
      <c r="L5" s="92" t="s">
        <v>41</v>
      </c>
      <c r="M5" s="553"/>
      <c r="N5" s="553"/>
      <c r="O5" s="214"/>
      <c r="P5" s="197"/>
      <c r="Q5" s="92" t="s">
        <v>31</v>
      </c>
      <c r="R5" s="92" t="s">
        <v>34</v>
      </c>
      <c r="S5" s="92" t="s">
        <v>29</v>
      </c>
    </row>
    <row r="6" spans="1:19" s="1" customFormat="1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93"/>
      <c r="H6" s="94"/>
      <c r="I6" s="280"/>
      <c r="J6" s="280"/>
      <c r="K6" s="545"/>
      <c r="L6" s="92" t="s">
        <v>28</v>
      </c>
      <c r="M6" s="553"/>
      <c r="N6" s="553"/>
      <c r="O6" s="214" t="s">
        <v>42</v>
      </c>
      <c r="P6" s="197" t="s">
        <v>30</v>
      </c>
      <c r="Q6" s="92" t="s">
        <v>32</v>
      </c>
      <c r="R6" s="92" t="s">
        <v>35</v>
      </c>
      <c r="S6" s="92" t="s">
        <v>16</v>
      </c>
    </row>
    <row r="7" spans="1:19" s="1" customFormat="1" ht="32.25" thickBot="1">
      <c r="A7" s="91" t="s">
        <v>27</v>
      </c>
      <c r="B7" s="92" t="s">
        <v>23</v>
      </c>
      <c r="C7" s="92" t="s">
        <v>19</v>
      </c>
      <c r="D7" s="538"/>
      <c r="E7" s="98" t="s">
        <v>87</v>
      </c>
      <c r="F7" s="99" t="s">
        <v>44</v>
      </c>
      <c r="G7" s="281" t="s">
        <v>2</v>
      </c>
      <c r="H7" s="282" t="s">
        <v>0</v>
      </c>
      <c r="I7" s="280"/>
      <c r="J7" s="280"/>
      <c r="K7" s="546"/>
      <c r="L7" s="92" t="s">
        <v>0</v>
      </c>
      <c r="M7" s="554"/>
      <c r="N7" s="554"/>
      <c r="O7" s="92"/>
      <c r="P7" s="197" t="s">
        <v>37</v>
      </c>
      <c r="Q7" s="219" t="s">
        <v>33</v>
      </c>
      <c r="R7" s="219" t="s">
        <v>36</v>
      </c>
      <c r="S7" s="92"/>
    </row>
    <row r="8" spans="1:19" s="109" customFormat="1" ht="15" customHeight="1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6">
        <v>4</v>
      </c>
      <c r="J8" s="106">
        <v>5</v>
      </c>
      <c r="K8" s="106">
        <v>8</v>
      </c>
      <c r="L8" s="106">
        <v>9</v>
      </c>
      <c r="M8" s="106"/>
      <c r="N8" s="106"/>
      <c r="O8" s="105" t="s">
        <v>88</v>
      </c>
      <c r="P8" s="105"/>
      <c r="Q8" s="107">
        <v>12</v>
      </c>
      <c r="R8" s="283">
        <v>13</v>
      </c>
      <c r="S8" s="105">
        <v>14</v>
      </c>
    </row>
    <row r="9" spans="1:19" s="1" customFormat="1" ht="21.75" customHeight="1" thickBot="1">
      <c r="A9" s="110" t="s">
        <v>254</v>
      </c>
      <c r="B9" s="590" t="s">
        <v>255</v>
      </c>
      <c r="C9" s="112">
        <v>0</v>
      </c>
      <c r="D9" s="112" t="s">
        <v>45</v>
      </c>
      <c r="E9" s="113">
        <v>121.95</v>
      </c>
      <c r="F9" s="284">
        <v>1</v>
      </c>
      <c r="G9" s="285">
        <v>1993</v>
      </c>
      <c r="H9" s="286">
        <v>0</v>
      </c>
      <c r="I9" s="28"/>
      <c r="J9" s="28"/>
      <c r="K9" s="112">
        <f>+H9</f>
        <v>0</v>
      </c>
      <c r="L9" s="112">
        <v>0</v>
      </c>
      <c r="M9" s="112"/>
      <c r="N9" s="112"/>
      <c r="O9" s="115"/>
      <c r="P9" s="116"/>
      <c r="Q9" s="591" t="s">
        <v>256</v>
      </c>
      <c r="R9" s="591" t="s">
        <v>92</v>
      </c>
      <c r="S9" s="112"/>
    </row>
    <row r="10" spans="1:19" s="1" customFormat="1" ht="21.75" customHeight="1" thickBot="1">
      <c r="A10" s="117" t="s">
        <v>257</v>
      </c>
      <c r="B10" s="581"/>
      <c r="C10" s="112">
        <v>20000</v>
      </c>
      <c r="D10" s="112"/>
      <c r="E10" s="285"/>
      <c r="F10" s="286"/>
      <c r="G10" s="285">
        <v>1994</v>
      </c>
      <c r="H10" s="286">
        <f>20000+201</f>
        <v>20201</v>
      </c>
      <c r="I10" s="28"/>
      <c r="J10" s="28"/>
      <c r="K10" s="286">
        <f>20000+201</f>
        <v>20201</v>
      </c>
      <c r="L10" s="112">
        <v>0</v>
      </c>
      <c r="M10" s="112"/>
      <c r="N10" s="112"/>
      <c r="O10" s="115"/>
      <c r="P10" s="116"/>
      <c r="Q10" s="592"/>
      <c r="R10" s="592"/>
      <c r="S10" s="112">
        <f>+K9-L9-M9</f>
        <v>0</v>
      </c>
    </row>
    <row r="11" spans="1:19" s="1" customFormat="1" ht="21.75" customHeight="1" thickBot="1">
      <c r="A11" s="117" t="s">
        <v>93</v>
      </c>
      <c r="B11" s="581"/>
      <c r="C11" s="112">
        <v>20000</v>
      </c>
      <c r="D11" s="112"/>
      <c r="E11" s="285"/>
      <c r="F11" s="286"/>
      <c r="G11" s="285">
        <v>1995</v>
      </c>
      <c r="H11" s="286">
        <v>20000</v>
      </c>
      <c r="I11" s="28"/>
      <c r="J11" s="28"/>
      <c r="K11" s="286">
        <v>20000</v>
      </c>
      <c r="L11" s="112">
        <v>0</v>
      </c>
      <c r="M11" s="112"/>
      <c r="N11" s="112"/>
      <c r="O11" s="115"/>
      <c r="P11" s="116"/>
      <c r="Q11" s="592"/>
      <c r="R11" s="592"/>
      <c r="S11" s="112">
        <f aca="true" t="shared" si="0" ref="S11:S74">+K10-L10-M10</f>
        <v>20201</v>
      </c>
    </row>
    <row r="12" spans="1:19" s="1" customFormat="1" ht="21.75" customHeight="1" thickBot="1">
      <c r="A12" s="120"/>
      <c r="B12" s="581"/>
      <c r="C12" s="112">
        <v>20000</v>
      </c>
      <c r="D12" s="112"/>
      <c r="E12" s="285"/>
      <c r="F12" s="286"/>
      <c r="G12" s="285">
        <v>1996</v>
      </c>
      <c r="H12" s="286">
        <v>20000</v>
      </c>
      <c r="I12" s="28"/>
      <c r="J12" s="28"/>
      <c r="K12" s="286">
        <v>20000</v>
      </c>
      <c r="L12" s="112">
        <v>0</v>
      </c>
      <c r="M12" s="112"/>
      <c r="N12" s="112"/>
      <c r="O12" s="115"/>
      <c r="P12" s="116"/>
      <c r="Q12" s="592"/>
      <c r="R12" s="592"/>
      <c r="S12" s="112">
        <f t="shared" si="0"/>
        <v>20000</v>
      </c>
    </row>
    <row r="13" spans="1:19" s="1" customFormat="1" ht="21.75" customHeight="1" thickBot="1">
      <c r="A13" s="120"/>
      <c r="B13" s="581"/>
      <c r="C13" s="118">
        <v>20000</v>
      </c>
      <c r="D13" s="118"/>
      <c r="E13" s="287"/>
      <c r="F13" s="138"/>
      <c r="G13" s="287">
        <v>1997</v>
      </c>
      <c r="H13" s="138">
        <v>20000</v>
      </c>
      <c r="I13" s="123">
        <v>1997</v>
      </c>
      <c r="J13" s="118">
        <v>16122.112082040843</v>
      </c>
      <c r="K13" s="138">
        <v>20000</v>
      </c>
      <c r="L13" s="118">
        <v>16122.112082040843</v>
      </c>
      <c r="M13" s="118"/>
      <c r="N13" s="118"/>
      <c r="O13" s="252" t="s">
        <v>258</v>
      </c>
      <c r="P13" s="235"/>
      <c r="Q13" s="592"/>
      <c r="R13" s="592"/>
      <c r="S13" s="112">
        <f t="shared" si="0"/>
        <v>20000</v>
      </c>
    </row>
    <row r="14" spans="1:19" s="1" customFormat="1" ht="21.75" customHeight="1" thickBot="1">
      <c r="A14" s="288"/>
      <c r="B14" s="581"/>
      <c r="C14" s="289"/>
      <c r="D14" s="289"/>
      <c r="E14" s="290"/>
      <c r="F14" s="291"/>
      <c r="G14" s="290"/>
      <c r="H14" s="291"/>
      <c r="I14" s="123">
        <v>1997</v>
      </c>
      <c r="J14" s="118">
        <v>15290.122976772616</v>
      </c>
      <c r="K14" s="291"/>
      <c r="L14" s="118">
        <v>15290.122976772616</v>
      </c>
      <c r="M14" s="118"/>
      <c r="N14" s="118"/>
      <c r="O14" s="416" t="s">
        <v>259</v>
      </c>
      <c r="P14" s="235"/>
      <c r="Q14" s="592"/>
      <c r="R14" s="592"/>
      <c r="S14" s="112">
        <f t="shared" si="0"/>
        <v>3877.8879179591568</v>
      </c>
    </row>
    <row r="15" spans="1:19" s="1" customFormat="1" ht="21.75" customHeight="1" thickBot="1">
      <c r="A15" s="288"/>
      <c r="B15" s="292"/>
      <c r="C15" s="293"/>
      <c r="D15" s="293"/>
      <c r="E15" s="294"/>
      <c r="F15" s="295"/>
      <c r="G15" s="294"/>
      <c r="H15" s="295"/>
      <c r="I15" s="226">
        <v>1997</v>
      </c>
      <c r="J15" s="127">
        <v>11073.364611997798</v>
      </c>
      <c r="K15" s="295"/>
      <c r="L15" s="127">
        <v>11073.364611997798</v>
      </c>
      <c r="M15" s="127"/>
      <c r="N15" s="127"/>
      <c r="O15" s="253" t="s">
        <v>260</v>
      </c>
      <c r="P15" s="248"/>
      <c r="Q15" s="592"/>
      <c r="R15" s="592"/>
      <c r="S15" s="112">
        <f t="shared" si="0"/>
        <v>-15290.122976772616</v>
      </c>
    </row>
    <row r="16" spans="1:19" s="1" customFormat="1" ht="21.75" customHeight="1" thickBot="1">
      <c r="A16" s="296"/>
      <c r="B16" s="123"/>
      <c r="C16" s="112">
        <v>40000</v>
      </c>
      <c r="D16" s="112"/>
      <c r="E16" s="285"/>
      <c r="F16" s="286"/>
      <c r="G16" s="285">
        <v>1998</v>
      </c>
      <c r="H16" s="286">
        <v>40000</v>
      </c>
      <c r="I16" s="28">
        <v>1998</v>
      </c>
      <c r="J16" s="112">
        <v>10924.463401210785</v>
      </c>
      <c r="K16" s="286">
        <v>40000</v>
      </c>
      <c r="L16" s="112">
        <v>10924.463401210785</v>
      </c>
      <c r="M16" s="118"/>
      <c r="N16" s="118"/>
      <c r="O16" s="423" t="s">
        <v>261</v>
      </c>
      <c r="P16" s="231"/>
      <c r="Q16" s="592"/>
      <c r="R16" s="592"/>
      <c r="S16" s="112">
        <f t="shared" si="0"/>
        <v>-11073.364611997798</v>
      </c>
    </row>
    <row r="17" spans="1:19" s="1" customFormat="1" ht="21.75" customHeight="1" thickBot="1">
      <c r="A17" s="296"/>
      <c r="B17" s="123"/>
      <c r="C17" s="112">
        <v>40000</v>
      </c>
      <c r="D17" s="112"/>
      <c r="E17" s="285"/>
      <c r="F17" s="286"/>
      <c r="G17" s="285">
        <v>1999</v>
      </c>
      <c r="H17" s="286">
        <v>40000</v>
      </c>
      <c r="I17" s="28">
        <v>1999</v>
      </c>
      <c r="J17" s="112">
        <v>6757.206175591909</v>
      </c>
      <c r="K17" s="286">
        <v>40000</v>
      </c>
      <c r="L17" s="112">
        <v>6757.206175591909</v>
      </c>
      <c r="M17" s="112"/>
      <c r="N17" s="112"/>
      <c r="O17" s="424" t="s">
        <v>262</v>
      </c>
      <c r="P17" s="231"/>
      <c r="Q17" s="592"/>
      <c r="R17" s="592"/>
      <c r="S17" s="112">
        <f t="shared" si="0"/>
        <v>29075.536598789215</v>
      </c>
    </row>
    <row r="18" spans="1:19" s="1" customFormat="1" ht="21.75" customHeight="1" thickBot="1">
      <c r="A18" s="296"/>
      <c r="B18" s="123"/>
      <c r="C18" s="112">
        <v>40000</v>
      </c>
      <c r="D18" s="112"/>
      <c r="E18" s="285"/>
      <c r="F18" s="286"/>
      <c r="G18" s="285">
        <v>2000</v>
      </c>
      <c r="H18" s="286">
        <v>40000</v>
      </c>
      <c r="I18" s="28">
        <v>2000</v>
      </c>
      <c r="J18" s="112">
        <v>0</v>
      </c>
      <c r="K18" s="286">
        <v>40000</v>
      </c>
      <c r="L18" s="112">
        <f>+J18</f>
        <v>0</v>
      </c>
      <c r="M18" s="112"/>
      <c r="N18" s="112"/>
      <c r="O18" s="297"/>
      <c r="P18" s="231"/>
      <c r="Q18" s="592"/>
      <c r="R18" s="592"/>
      <c r="S18" s="112">
        <f t="shared" si="0"/>
        <v>33242.79382440809</v>
      </c>
    </row>
    <row r="19" spans="1:19" s="1" customFormat="1" ht="21.75" customHeight="1" thickBot="1">
      <c r="A19" s="296"/>
      <c r="B19" s="123"/>
      <c r="C19" s="118">
        <v>40000</v>
      </c>
      <c r="D19" s="118"/>
      <c r="E19" s="287"/>
      <c r="F19" s="138"/>
      <c r="G19" s="287">
        <v>2001</v>
      </c>
      <c r="H19" s="138">
        <v>40000</v>
      </c>
      <c r="I19" s="123">
        <v>2001</v>
      </c>
      <c r="J19" s="118">
        <v>26434.200352966167</v>
      </c>
      <c r="K19" s="138">
        <v>40000</v>
      </c>
      <c r="L19" s="118">
        <v>26434.200352966167</v>
      </c>
      <c r="M19" s="118"/>
      <c r="N19" s="118"/>
      <c r="O19" s="252" t="s">
        <v>263</v>
      </c>
      <c r="P19" s="235"/>
      <c r="Q19" s="592"/>
      <c r="R19" s="592"/>
      <c r="S19" s="112">
        <f t="shared" si="0"/>
        <v>40000</v>
      </c>
    </row>
    <row r="20" spans="1:19" s="1" customFormat="1" ht="21.75" customHeight="1" thickBot="1">
      <c r="A20" s="296"/>
      <c r="B20" s="236"/>
      <c r="C20" s="118"/>
      <c r="D20" s="118"/>
      <c r="E20" s="287"/>
      <c r="F20" s="138"/>
      <c r="G20" s="287"/>
      <c r="H20" s="138"/>
      <c r="I20" s="123">
        <v>2001</v>
      </c>
      <c r="J20" s="118">
        <v>6875.105535795019</v>
      </c>
      <c r="K20" s="138"/>
      <c r="L20" s="118">
        <v>6875.105535795019</v>
      </c>
      <c r="M20" s="118"/>
      <c r="N20" s="118"/>
      <c r="O20" s="423" t="s">
        <v>264</v>
      </c>
      <c r="P20" s="235"/>
      <c r="Q20" s="592"/>
      <c r="R20" s="592"/>
      <c r="S20" s="112">
        <f t="shared" si="0"/>
        <v>13565.799647033833</v>
      </c>
    </row>
    <row r="21" spans="1:19" s="1" customFormat="1" ht="21.75" customHeight="1" thickBot="1">
      <c r="A21" s="296"/>
      <c r="B21" s="236"/>
      <c r="C21" s="118"/>
      <c r="D21" s="118"/>
      <c r="E21" s="287"/>
      <c r="F21" s="138"/>
      <c r="G21" s="287"/>
      <c r="H21" s="138"/>
      <c r="I21" s="123">
        <v>2001</v>
      </c>
      <c r="J21" s="118">
        <v>4180.448506702544</v>
      </c>
      <c r="K21" s="138"/>
      <c r="L21" s="118">
        <v>4180.448506702544</v>
      </c>
      <c r="M21" s="118"/>
      <c r="N21" s="118"/>
      <c r="O21" s="416" t="s">
        <v>265</v>
      </c>
      <c r="P21" s="235"/>
      <c r="Q21" s="592"/>
      <c r="R21" s="592"/>
      <c r="S21" s="112">
        <f t="shared" si="0"/>
        <v>-6875.105535795019</v>
      </c>
    </row>
    <row r="22" spans="1:19" s="1" customFormat="1" ht="21.75" customHeight="1" thickBot="1">
      <c r="A22" s="296"/>
      <c r="B22" s="236"/>
      <c r="C22" s="118"/>
      <c r="D22" s="118"/>
      <c r="E22" s="287"/>
      <c r="F22" s="138"/>
      <c r="G22" s="287"/>
      <c r="H22" s="138"/>
      <c r="I22" s="123">
        <v>2001</v>
      </c>
      <c r="J22" s="118">
        <v>27152.847535296103</v>
      </c>
      <c r="K22" s="138"/>
      <c r="L22" s="118">
        <v>27152.847535296103</v>
      </c>
      <c r="M22" s="118"/>
      <c r="N22" s="118"/>
      <c r="O22" s="425" t="s">
        <v>266</v>
      </c>
      <c r="P22" s="235"/>
      <c r="Q22" s="592"/>
      <c r="R22" s="592"/>
      <c r="S22" s="112">
        <f t="shared" si="0"/>
        <v>-4180.448506702544</v>
      </c>
    </row>
    <row r="23" spans="1:19" s="1" customFormat="1" ht="21.75" customHeight="1" thickBot="1">
      <c r="A23" s="296"/>
      <c r="B23" s="236"/>
      <c r="C23" s="118"/>
      <c r="D23" s="118"/>
      <c r="E23" s="287"/>
      <c r="F23" s="138"/>
      <c r="G23" s="287"/>
      <c r="H23" s="138"/>
      <c r="I23" s="123">
        <v>2001</v>
      </c>
      <c r="J23" s="118">
        <v>23346.041536163448</v>
      </c>
      <c r="K23" s="138"/>
      <c r="L23" s="118">
        <v>23346.041536163448</v>
      </c>
      <c r="M23" s="118"/>
      <c r="N23" s="118"/>
      <c r="O23" s="425" t="s">
        <v>267</v>
      </c>
      <c r="P23" s="235"/>
      <c r="Q23" s="592"/>
      <c r="R23" s="592"/>
      <c r="S23" s="112">
        <f t="shared" si="0"/>
        <v>-27152.847535296103</v>
      </c>
    </row>
    <row r="24" spans="1:19" s="1" customFormat="1" ht="21.75" customHeight="1" thickBot="1">
      <c r="A24" s="296"/>
      <c r="B24" s="236"/>
      <c r="C24" s="127"/>
      <c r="D24" s="127"/>
      <c r="E24" s="298"/>
      <c r="F24" s="299"/>
      <c r="G24" s="298"/>
      <c r="H24" s="299"/>
      <c r="I24" s="226">
        <v>2001</v>
      </c>
      <c r="J24" s="127">
        <v>1030.4823399026648</v>
      </c>
      <c r="K24" s="299"/>
      <c r="L24" s="127">
        <v>1030.4823399026648</v>
      </c>
      <c r="M24" s="127"/>
      <c r="N24" s="127"/>
      <c r="O24" s="253" t="s">
        <v>268</v>
      </c>
      <c r="P24" s="248"/>
      <c r="Q24" s="592"/>
      <c r="R24" s="592"/>
      <c r="S24" s="112">
        <f t="shared" si="0"/>
        <v>-23346.041536163448</v>
      </c>
    </row>
    <row r="25" spans="1:19" s="1" customFormat="1" ht="21.75" customHeight="1" thickBot="1">
      <c r="A25" s="296"/>
      <c r="B25" s="123"/>
      <c r="C25" s="118">
        <v>40000</v>
      </c>
      <c r="D25" s="118"/>
      <c r="E25" s="287"/>
      <c r="F25" s="138"/>
      <c r="G25" s="287">
        <v>2002</v>
      </c>
      <c r="H25" s="138">
        <v>40000</v>
      </c>
      <c r="I25" s="123">
        <v>2002</v>
      </c>
      <c r="J25" s="118">
        <v>159.16734929889654</v>
      </c>
      <c r="K25" s="138">
        <v>40000</v>
      </c>
      <c r="L25" s="118">
        <v>159.16734929889654</v>
      </c>
      <c r="M25" s="118"/>
      <c r="N25" s="118"/>
      <c r="O25" s="252" t="s">
        <v>265</v>
      </c>
      <c r="P25" s="235"/>
      <c r="Q25" s="592"/>
      <c r="R25" s="592"/>
      <c r="S25" s="112">
        <f t="shared" si="0"/>
        <v>-1030.4823399026648</v>
      </c>
    </row>
    <row r="26" spans="1:19" s="1" customFormat="1" ht="21.75" customHeight="1" thickBot="1">
      <c r="A26" s="296"/>
      <c r="B26" s="236"/>
      <c r="C26" s="118"/>
      <c r="D26" s="118"/>
      <c r="E26" s="287"/>
      <c r="F26" s="138"/>
      <c r="G26" s="287"/>
      <c r="H26" s="138"/>
      <c r="I26" s="123">
        <v>2002</v>
      </c>
      <c r="J26" s="118">
        <v>-83.78547679853516</v>
      </c>
      <c r="K26" s="138"/>
      <c r="L26" s="118">
        <v>-83.78547679853516</v>
      </c>
      <c r="M26" s="118"/>
      <c r="N26" s="118"/>
      <c r="O26" s="423" t="s">
        <v>264</v>
      </c>
      <c r="P26" s="235"/>
      <c r="Q26" s="592"/>
      <c r="R26" s="592"/>
      <c r="S26" s="112">
        <f t="shared" si="0"/>
        <v>39840.8326507011</v>
      </c>
    </row>
    <row r="27" spans="1:19" s="1" customFormat="1" ht="21.75" customHeight="1" thickBot="1">
      <c r="A27" s="296"/>
      <c r="B27" s="236"/>
      <c r="C27" s="118"/>
      <c r="D27" s="118"/>
      <c r="E27" s="287"/>
      <c r="F27" s="138"/>
      <c r="G27" s="287"/>
      <c r="H27" s="138"/>
      <c r="I27" s="123">
        <v>2002</v>
      </c>
      <c r="J27" s="118">
        <v>1235.7739122054643</v>
      </c>
      <c r="K27" s="138"/>
      <c r="L27" s="118">
        <v>1235.7739122054643</v>
      </c>
      <c r="M27" s="118"/>
      <c r="N27" s="118"/>
      <c r="O27" s="416" t="s">
        <v>266</v>
      </c>
      <c r="P27" s="235"/>
      <c r="Q27" s="592"/>
      <c r="R27" s="592"/>
      <c r="S27" s="112">
        <f t="shared" si="0"/>
        <v>83.78547679853516</v>
      </c>
    </row>
    <row r="28" spans="1:19" s="1" customFormat="1" ht="21.75" customHeight="1" thickBot="1">
      <c r="A28" s="296"/>
      <c r="B28" s="236"/>
      <c r="C28" s="118"/>
      <c r="D28" s="118"/>
      <c r="E28" s="287"/>
      <c r="F28" s="138"/>
      <c r="G28" s="287"/>
      <c r="H28" s="138"/>
      <c r="I28" s="123">
        <v>2002</v>
      </c>
      <c r="J28" s="118">
        <v>2752.63682359177</v>
      </c>
      <c r="K28" s="138"/>
      <c r="L28" s="118">
        <v>2752.63682359177</v>
      </c>
      <c r="M28" s="118"/>
      <c r="N28" s="118"/>
      <c r="O28" s="425" t="s">
        <v>268</v>
      </c>
      <c r="P28" s="235"/>
      <c r="Q28" s="592"/>
      <c r="R28" s="592"/>
      <c r="S28" s="112">
        <f t="shared" si="0"/>
        <v>-1235.7739122054643</v>
      </c>
    </row>
    <row r="29" spans="1:19" s="1" customFormat="1" ht="21.75" customHeight="1" thickBot="1">
      <c r="A29" s="296"/>
      <c r="B29" s="236"/>
      <c r="C29" s="127"/>
      <c r="D29" s="127"/>
      <c r="E29" s="298"/>
      <c r="F29" s="299"/>
      <c r="G29" s="298"/>
      <c r="H29" s="299"/>
      <c r="I29" s="226">
        <v>2002</v>
      </c>
      <c r="J29" s="127">
        <v>11373.0617988462</v>
      </c>
      <c r="K29" s="299"/>
      <c r="L29" s="127">
        <v>11373.0617988462</v>
      </c>
      <c r="M29" s="127"/>
      <c r="N29" s="127"/>
      <c r="O29" s="253" t="s">
        <v>269</v>
      </c>
      <c r="P29" s="248"/>
      <c r="Q29" s="592"/>
      <c r="R29" s="592"/>
      <c r="S29" s="112">
        <f t="shared" si="0"/>
        <v>-2752.63682359177</v>
      </c>
    </row>
    <row r="30" spans="1:19" s="1" customFormat="1" ht="21.75" customHeight="1" thickBot="1">
      <c r="A30" s="296"/>
      <c r="B30" s="123"/>
      <c r="C30" s="118">
        <v>40000</v>
      </c>
      <c r="D30" s="118"/>
      <c r="E30" s="287"/>
      <c r="F30" s="138"/>
      <c r="G30" s="287">
        <v>2003</v>
      </c>
      <c r="H30" s="138">
        <v>40000</v>
      </c>
      <c r="I30" s="123">
        <v>2003</v>
      </c>
      <c r="J30" s="118">
        <v>18639.626974636485</v>
      </c>
      <c r="K30" s="138">
        <v>40000</v>
      </c>
      <c r="L30" s="118">
        <v>18639.626974636485</v>
      </c>
      <c r="M30" s="118"/>
      <c r="N30" s="118"/>
      <c r="O30" s="252" t="s">
        <v>270</v>
      </c>
      <c r="P30" s="235"/>
      <c r="Q30" s="592"/>
      <c r="R30" s="592"/>
      <c r="S30" s="112">
        <f t="shared" si="0"/>
        <v>-11373.0617988462</v>
      </c>
    </row>
    <row r="31" spans="1:19" s="1" customFormat="1" ht="21.75" customHeight="1" thickBot="1">
      <c r="A31" s="296"/>
      <c r="B31" s="236"/>
      <c r="C31" s="127"/>
      <c r="D31" s="127"/>
      <c r="E31" s="298"/>
      <c r="F31" s="299"/>
      <c r="G31" s="298"/>
      <c r="H31" s="299"/>
      <c r="I31" s="226">
        <v>2003</v>
      </c>
      <c r="J31" s="127">
        <v>1538.883512854656</v>
      </c>
      <c r="K31" s="299"/>
      <c r="L31" s="127">
        <v>1538.883512854656</v>
      </c>
      <c r="M31" s="127"/>
      <c r="N31" s="127"/>
      <c r="O31" s="426" t="s">
        <v>269</v>
      </c>
      <c r="P31" s="248"/>
      <c r="Q31" s="592"/>
      <c r="R31" s="592"/>
      <c r="S31" s="112">
        <f t="shared" si="0"/>
        <v>21360.373025363515</v>
      </c>
    </row>
    <row r="32" spans="1:19" s="1" customFormat="1" ht="21.75" customHeight="1" thickBot="1">
      <c r="A32" s="296"/>
      <c r="B32" s="123"/>
      <c r="C32" s="112">
        <v>40000</v>
      </c>
      <c r="D32" s="112"/>
      <c r="E32" s="285"/>
      <c r="F32" s="286"/>
      <c r="G32" s="285">
        <v>2004</v>
      </c>
      <c r="H32" s="286">
        <v>40000</v>
      </c>
      <c r="I32" s="300">
        <v>2004</v>
      </c>
      <c r="J32" s="112">
        <v>1981.358508260636</v>
      </c>
      <c r="K32" s="286">
        <v>40000</v>
      </c>
      <c r="L32" s="112">
        <v>1981.358508260636</v>
      </c>
      <c r="M32" s="127"/>
      <c r="N32" s="127"/>
      <c r="O32" s="301" t="s">
        <v>271</v>
      </c>
      <c r="P32" s="231"/>
      <c r="Q32" s="592"/>
      <c r="R32" s="592"/>
      <c r="S32" s="112">
        <f t="shared" si="0"/>
        <v>-1538.883512854656</v>
      </c>
    </row>
    <row r="33" spans="1:19" s="1" customFormat="1" ht="21.75" customHeight="1" thickBot="1">
      <c r="A33" s="296"/>
      <c r="B33" s="123"/>
      <c r="C33" s="118">
        <v>75000</v>
      </c>
      <c r="D33" s="118"/>
      <c r="E33" s="287"/>
      <c r="F33" s="138"/>
      <c r="G33" s="287">
        <v>2005</v>
      </c>
      <c r="H33" s="138">
        <v>75000</v>
      </c>
      <c r="I33" s="302">
        <v>2005</v>
      </c>
      <c r="J33" s="118">
        <v>247.5973049623562</v>
      </c>
      <c r="K33" s="138">
        <v>75000</v>
      </c>
      <c r="L33" s="118">
        <v>247.5973049623562</v>
      </c>
      <c r="M33" s="118"/>
      <c r="N33" s="118"/>
      <c r="O33" s="240" t="s">
        <v>272</v>
      </c>
      <c r="P33" s="235"/>
      <c r="Q33" s="592"/>
      <c r="R33" s="592"/>
      <c r="S33" s="112">
        <f t="shared" si="0"/>
        <v>38018.64149173936</v>
      </c>
    </row>
    <row r="34" spans="1:19" s="1" customFormat="1" ht="21.75" customHeight="1" thickBot="1">
      <c r="A34" s="296"/>
      <c r="B34" s="236"/>
      <c r="C34" s="127"/>
      <c r="D34" s="127"/>
      <c r="E34" s="298"/>
      <c r="F34" s="299"/>
      <c r="G34" s="298"/>
      <c r="H34" s="299"/>
      <c r="I34" s="303">
        <v>2005</v>
      </c>
      <c r="J34" s="127">
        <v>17753.262870404687</v>
      </c>
      <c r="K34" s="299"/>
      <c r="L34" s="127">
        <v>17753.262870404687</v>
      </c>
      <c r="M34" s="127"/>
      <c r="N34" s="127"/>
      <c r="O34" s="304" t="s">
        <v>273</v>
      </c>
      <c r="P34" s="248"/>
      <c r="Q34" s="592"/>
      <c r="R34" s="592"/>
      <c r="S34" s="112">
        <f t="shared" si="0"/>
        <v>74752.40269503764</v>
      </c>
    </row>
    <row r="35" spans="1:19" s="1" customFormat="1" ht="21.75" customHeight="1" thickBot="1">
      <c r="A35" s="296"/>
      <c r="B35" s="123"/>
      <c r="C35" s="118">
        <v>75000</v>
      </c>
      <c r="D35" s="118"/>
      <c r="E35" s="287"/>
      <c r="F35" s="138"/>
      <c r="G35" s="287">
        <v>2006</v>
      </c>
      <c r="H35" s="138">
        <v>75000</v>
      </c>
      <c r="I35" s="123">
        <v>2006</v>
      </c>
      <c r="J35" s="118">
        <v>5084.3422844958295</v>
      </c>
      <c r="K35" s="138">
        <v>75000</v>
      </c>
      <c r="L35" s="118">
        <v>5084.3422844958295</v>
      </c>
      <c r="M35" s="118"/>
      <c r="N35" s="118"/>
      <c r="O35" s="252" t="s">
        <v>263</v>
      </c>
      <c r="P35" s="235"/>
      <c r="Q35" s="592"/>
      <c r="R35" s="592"/>
      <c r="S35" s="112">
        <f t="shared" si="0"/>
        <v>-17753.262870404687</v>
      </c>
    </row>
    <row r="36" spans="1:19" s="1" customFormat="1" ht="21.75" customHeight="1" thickBot="1">
      <c r="A36" s="296"/>
      <c r="B36" s="236"/>
      <c r="C36" s="118"/>
      <c r="D36" s="118"/>
      <c r="E36" s="287"/>
      <c r="F36" s="138"/>
      <c r="G36" s="287"/>
      <c r="H36" s="138"/>
      <c r="I36" s="123">
        <v>2006</v>
      </c>
      <c r="J36" s="118">
        <v>1045.9625106895717</v>
      </c>
      <c r="K36" s="138"/>
      <c r="L36" s="118">
        <v>1045.9625106895717</v>
      </c>
      <c r="M36" s="118"/>
      <c r="N36" s="118"/>
      <c r="O36" s="416" t="s">
        <v>265</v>
      </c>
      <c r="P36" s="235"/>
      <c r="Q36" s="592"/>
      <c r="R36" s="592"/>
      <c r="S36" s="112">
        <f t="shared" si="0"/>
        <v>69915.65771550417</v>
      </c>
    </row>
    <row r="37" spans="1:19" s="1" customFormat="1" ht="21.75" customHeight="1" thickBot="1">
      <c r="A37" s="296"/>
      <c r="B37" s="236"/>
      <c r="C37" s="118"/>
      <c r="D37" s="118"/>
      <c r="E37" s="287"/>
      <c r="F37" s="138"/>
      <c r="G37" s="287"/>
      <c r="H37" s="138"/>
      <c r="I37" s="123">
        <v>2006</v>
      </c>
      <c r="J37" s="118">
        <v>5462.359070131612</v>
      </c>
      <c r="K37" s="138"/>
      <c r="L37" s="118">
        <v>5462.359070131612</v>
      </c>
      <c r="M37" s="118"/>
      <c r="N37" s="118"/>
      <c r="O37" s="416" t="s">
        <v>274</v>
      </c>
      <c r="P37" s="235"/>
      <c r="Q37" s="592"/>
      <c r="R37" s="592"/>
      <c r="S37" s="112">
        <f t="shared" si="0"/>
        <v>-1045.9625106895717</v>
      </c>
    </row>
    <row r="38" spans="1:19" s="1" customFormat="1" ht="21.75" customHeight="1" thickBot="1">
      <c r="A38" s="296"/>
      <c r="B38" s="236"/>
      <c r="C38" s="118"/>
      <c r="D38" s="118"/>
      <c r="E38" s="287"/>
      <c r="F38" s="138"/>
      <c r="G38" s="287"/>
      <c r="H38" s="138"/>
      <c r="I38" s="123">
        <v>2006</v>
      </c>
      <c r="J38" s="118">
        <v>81313.34117390151</v>
      </c>
      <c r="K38" s="138"/>
      <c r="L38" s="118">
        <v>81313.34117390151</v>
      </c>
      <c r="M38" s="118"/>
      <c r="N38" s="118"/>
      <c r="O38" s="416" t="s">
        <v>275</v>
      </c>
      <c r="P38" s="235"/>
      <c r="Q38" s="592"/>
      <c r="R38" s="592"/>
      <c r="S38" s="112">
        <f t="shared" si="0"/>
        <v>-5462.359070131612</v>
      </c>
    </row>
    <row r="39" spans="1:19" s="1" customFormat="1" ht="21.75" customHeight="1" thickBot="1">
      <c r="A39" s="296"/>
      <c r="B39" s="236"/>
      <c r="C39" s="118"/>
      <c r="D39" s="118"/>
      <c r="E39" s="287"/>
      <c r="F39" s="138"/>
      <c r="G39" s="287"/>
      <c r="H39" s="138"/>
      <c r="I39" s="123">
        <v>2006</v>
      </c>
      <c r="J39" s="118">
        <v>4094.7904589089408</v>
      </c>
      <c r="K39" s="138"/>
      <c r="L39" s="118">
        <v>4094.7904589089408</v>
      </c>
      <c r="M39" s="118"/>
      <c r="N39" s="118"/>
      <c r="O39" s="416" t="s">
        <v>270</v>
      </c>
      <c r="P39" s="235"/>
      <c r="Q39" s="592"/>
      <c r="R39" s="592"/>
      <c r="S39" s="112">
        <f t="shared" si="0"/>
        <v>-81313.34117390151</v>
      </c>
    </row>
    <row r="40" spans="1:19" s="1" customFormat="1" ht="21.75" customHeight="1" thickBot="1">
      <c r="A40" s="305"/>
      <c r="B40" s="127"/>
      <c r="C40" s="127"/>
      <c r="D40" s="127"/>
      <c r="E40" s="298"/>
      <c r="F40" s="299"/>
      <c r="G40" s="298"/>
      <c r="H40" s="299"/>
      <c r="I40" s="226">
        <v>2006</v>
      </c>
      <c r="J40" s="127">
        <v>21953.712151183026</v>
      </c>
      <c r="K40" s="299"/>
      <c r="L40" s="127">
        <v>21953.712151183026</v>
      </c>
      <c r="M40" s="127"/>
      <c r="N40" s="127"/>
      <c r="O40" s="253" t="s">
        <v>276</v>
      </c>
      <c r="P40" s="248"/>
      <c r="Q40" s="593"/>
      <c r="R40" s="593"/>
      <c r="S40" s="112">
        <f t="shared" si="0"/>
        <v>-4094.7904589089408</v>
      </c>
    </row>
    <row r="41" spans="1:19" s="1" customFormat="1" ht="21.75" customHeight="1" thickBot="1">
      <c r="A41" s="306"/>
      <c r="B41" s="243"/>
      <c r="C41" s="133">
        <v>75000</v>
      </c>
      <c r="D41" s="133"/>
      <c r="E41" s="111"/>
      <c r="F41" s="132"/>
      <c r="G41" s="111">
        <v>2007</v>
      </c>
      <c r="H41" s="132">
        <v>75000</v>
      </c>
      <c r="I41" s="307">
        <v>2007</v>
      </c>
      <c r="J41" s="133">
        <v>214.94002088444788</v>
      </c>
      <c r="K41" s="132">
        <v>75000</v>
      </c>
      <c r="L41" s="133">
        <v>214.94002088444788</v>
      </c>
      <c r="M41" s="133"/>
      <c r="N41" s="133"/>
      <c r="O41" s="308" t="s">
        <v>277</v>
      </c>
      <c r="P41" s="234"/>
      <c r="Q41" s="575" t="s">
        <v>91</v>
      </c>
      <c r="R41" s="575" t="s">
        <v>92</v>
      </c>
      <c r="S41" s="112">
        <f t="shared" si="0"/>
        <v>-21953.712151183026</v>
      </c>
    </row>
    <row r="42" spans="1:19" s="1" customFormat="1" ht="21.75" customHeight="1" thickBot="1">
      <c r="A42" s="296"/>
      <c r="B42" s="236"/>
      <c r="C42" s="118"/>
      <c r="D42" s="118"/>
      <c r="E42" s="287"/>
      <c r="F42" s="138"/>
      <c r="G42" s="287"/>
      <c r="H42" s="138"/>
      <c r="I42" s="302">
        <v>2007</v>
      </c>
      <c r="J42" s="118">
        <v>467.4239967399886</v>
      </c>
      <c r="K42" s="138"/>
      <c r="L42" s="118">
        <v>467.4239967399886</v>
      </c>
      <c r="M42" s="118"/>
      <c r="N42" s="118"/>
      <c r="O42" s="416" t="s">
        <v>278</v>
      </c>
      <c r="P42" s="235"/>
      <c r="Q42" s="576"/>
      <c r="R42" s="576"/>
      <c r="S42" s="112">
        <f t="shared" si="0"/>
        <v>74785.05997911555</v>
      </c>
    </row>
    <row r="43" spans="1:19" s="1" customFormat="1" ht="21.75" customHeight="1" thickBot="1">
      <c r="A43" s="296"/>
      <c r="B43" s="236"/>
      <c r="C43" s="118"/>
      <c r="D43" s="118"/>
      <c r="E43" s="287"/>
      <c r="F43" s="138"/>
      <c r="G43" s="287"/>
      <c r="H43" s="138"/>
      <c r="I43" s="302">
        <v>2007</v>
      </c>
      <c r="J43" s="118">
        <v>14393.68033211366</v>
      </c>
      <c r="K43" s="138"/>
      <c r="L43" s="118">
        <v>14393.68033211366</v>
      </c>
      <c r="M43" s="118"/>
      <c r="N43" s="118"/>
      <c r="O43" s="416" t="s">
        <v>279</v>
      </c>
      <c r="P43" s="235"/>
      <c r="Q43" s="576"/>
      <c r="R43" s="576"/>
      <c r="S43" s="112">
        <f t="shared" si="0"/>
        <v>-467.4239967399886</v>
      </c>
    </row>
    <row r="44" spans="1:19" s="1" customFormat="1" ht="21.75" customHeight="1" thickBot="1">
      <c r="A44" s="296"/>
      <c r="B44" s="236"/>
      <c r="C44" s="118"/>
      <c r="D44" s="118"/>
      <c r="E44" s="287"/>
      <c r="F44" s="138"/>
      <c r="G44" s="287"/>
      <c r="H44" s="138"/>
      <c r="I44" s="302">
        <v>2007</v>
      </c>
      <c r="J44" s="118">
        <v>4871.322936387331</v>
      </c>
      <c r="K44" s="138"/>
      <c r="L44" s="118">
        <v>4871.322936387331</v>
      </c>
      <c r="M44" s="118"/>
      <c r="N44" s="118"/>
      <c r="O44" s="416" t="s">
        <v>280</v>
      </c>
      <c r="P44" s="235"/>
      <c r="Q44" s="576"/>
      <c r="R44" s="576"/>
      <c r="S44" s="112">
        <f t="shared" si="0"/>
        <v>-14393.68033211366</v>
      </c>
    </row>
    <row r="45" spans="1:19" s="1" customFormat="1" ht="21.75" customHeight="1" thickBot="1">
      <c r="A45" s="296"/>
      <c r="B45" s="236"/>
      <c r="C45" s="118"/>
      <c r="D45" s="118"/>
      <c r="E45" s="287"/>
      <c r="F45" s="138"/>
      <c r="G45" s="287"/>
      <c r="H45" s="138"/>
      <c r="I45" s="302">
        <v>2007</v>
      </c>
      <c r="J45" s="118">
        <v>13337.30081245596</v>
      </c>
      <c r="K45" s="138"/>
      <c r="L45" s="118">
        <v>13337.30081245596</v>
      </c>
      <c r="M45" s="118"/>
      <c r="N45" s="118"/>
      <c r="O45" s="416" t="s">
        <v>281</v>
      </c>
      <c r="P45" s="235"/>
      <c r="Q45" s="576"/>
      <c r="R45" s="576"/>
      <c r="S45" s="112">
        <f t="shared" si="0"/>
        <v>-4871.322936387331</v>
      </c>
    </row>
    <row r="46" spans="1:19" s="1" customFormat="1" ht="21.75" customHeight="1" thickBot="1">
      <c r="A46" s="296"/>
      <c r="B46" s="236"/>
      <c r="C46" s="118"/>
      <c r="D46" s="118"/>
      <c r="E46" s="287"/>
      <c r="F46" s="138"/>
      <c r="G46" s="287"/>
      <c r="H46" s="138"/>
      <c r="I46" s="302">
        <v>2007</v>
      </c>
      <c r="J46" s="118">
        <v>7468.287175737107</v>
      </c>
      <c r="K46" s="138"/>
      <c r="L46" s="118">
        <v>7468.287175737107</v>
      </c>
      <c r="M46" s="118"/>
      <c r="N46" s="118"/>
      <c r="O46" s="416" t="s">
        <v>282</v>
      </c>
      <c r="P46" s="235"/>
      <c r="Q46" s="576"/>
      <c r="R46" s="576"/>
      <c r="S46" s="112">
        <f t="shared" si="0"/>
        <v>-13337.30081245596</v>
      </c>
    </row>
    <row r="47" spans="1:19" s="1" customFormat="1" ht="21.75" customHeight="1" thickBot="1">
      <c r="A47" s="296"/>
      <c r="B47" s="236"/>
      <c r="C47" s="118"/>
      <c r="D47" s="118"/>
      <c r="E47" s="287"/>
      <c r="F47" s="138"/>
      <c r="G47" s="287"/>
      <c r="H47" s="138"/>
      <c r="I47" s="302">
        <v>2007</v>
      </c>
      <c r="J47" s="118">
        <v>6625.475468306441</v>
      </c>
      <c r="K47" s="138"/>
      <c r="L47" s="118">
        <v>6625.475468306441</v>
      </c>
      <c r="M47" s="118"/>
      <c r="N47" s="118"/>
      <c r="O47" s="416" t="s">
        <v>283</v>
      </c>
      <c r="P47" s="235"/>
      <c r="Q47" s="576"/>
      <c r="R47" s="576"/>
      <c r="S47" s="112">
        <f t="shared" si="0"/>
        <v>-7468.287175737107</v>
      </c>
    </row>
    <row r="48" spans="1:19" s="1" customFormat="1" ht="21.75" customHeight="1" thickBot="1">
      <c r="A48" s="296"/>
      <c r="B48" s="236"/>
      <c r="C48" s="118"/>
      <c r="D48" s="118"/>
      <c r="E48" s="287"/>
      <c r="F48" s="138"/>
      <c r="G48" s="287"/>
      <c r="H48" s="138"/>
      <c r="I48" s="302">
        <v>2007</v>
      </c>
      <c r="J48" s="118">
        <v>3428.7414465963548</v>
      </c>
      <c r="K48" s="138"/>
      <c r="L48" s="118">
        <v>3428.7414465963548</v>
      </c>
      <c r="M48" s="118"/>
      <c r="N48" s="118"/>
      <c r="O48" s="416" t="s">
        <v>276</v>
      </c>
      <c r="P48" s="235"/>
      <c r="Q48" s="576"/>
      <c r="R48" s="576"/>
      <c r="S48" s="112">
        <f t="shared" si="0"/>
        <v>-6625.475468306441</v>
      </c>
    </row>
    <row r="49" spans="1:19" s="1" customFormat="1" ht="21.75" customHeight="1" thickBot="1">
      <c r="A49" s="296"/>
      <c r="B49" s="236"/>
      <c r="C49" s="127"/>
      <c r="D49" s="127"/>
      <c r="E49" s="298"/>
      <c r="F49" s="299"/>
      <c r="G49" s="298"/>
      <c r="H49" s="299"/>
      <c r="I49" s="228">
        <v>2007</v>
      </c>
      <c r="J49" s="127">
        <v>7787.017003358119</v>
      </c>
      <c r="K49" s="299"/>
      <c r="L49" s="127">
        <v>7787.017003358119</v>
      </c>
      <c r="M49" s="127"/>
      <c r="N49" s="127"/>
      <c r="O49" s="253" t="s">
        <v>270</v>
      </c>
      <c r="P49" s="248"/>
      <c r="Q49" s="576"/>
      <c r="R49" s="576"/>
      <c r="S49" s="112">
        <f t="shared" si="0"/>
        <v>-3428.7414465963548</v>
      </c>
    </row>
    <row r="50" spans="1:19" s="1" customFormat="1" ht="21.75" customHeight="1" thickBot="1">
      <c r="A50" s="296"/>
      <c r="B50" s="123"/>
      <c r="C50" s="118">
        <v>75000</v>
      </c>
      <c r="D50" s="118"/>
      <c r="E50" s="287"/>
      <c r="F50" s="138"/>
      <c r="G50" s="287">
        <v>2008</v>
      </c>
      <c r="H50" s="138">
        <v>75000</v>
      </c>
      <c r="I50" s="302">
        <v>2008</v>
      </c>
      <c r="J50" s="118">
        <v>3948.2569861696416</v>
      </c>
      <c r="K50" s="138">
        <v>75000</v>
      </c>
      <c r="L50" s="118">
        <v>3948.2569861696416</v>
      </c>
      <c r="M50" s="118"/>
      <c r="N50" s="118"/>
      <c r="O50" s="252" t="s">
        <v>284</v>
      </c>
      <c r="P50" s="235"/>
      <c r="Q50" s="576"/>
      <c r="R50" s="576"/>
      <c r="S50" s="112">
        <f t="shared" si="0"/>
        <v>-7787.017003358119</v>
      </c>
    </row>
    <row r="51" spans="1:19" s="1" customFormat="1" ht="21.75" customHeight="1" thickBot="1">
      <c r="A51" s="296"/>
      <c r="B51" s="236"/>
      <c r="C51" s="118"/>
      <c r="D51" s="118"/>
      <c r="E51" s="287"/>
      <c r="F51" s="138"/>
      <c r="G51" s="287"/>
      <c r="H51" s="138"/>
      <c r="I51" s="302">
        <v>2008</v>
      </c>
      <c r="J51" s="118">
        <v>10201.897601235694</v>
      </c>
      <c r="K51" s="138"/>
      <c r="L51" s="118">
        <v>10201.897601235694</v>
      </c>
      <c r="M51" s="118"/>
      <c r="N51" s="118"/>
      <c r="O51" s="416" t="s">
        <v>285</v>
      </c>
      <c r="P51" s="235"/>
      <c r="Q51" s="576"/>
      <c r="R51" s="576"/>
      <c r="S51" s="112">
        <f t="shared" si="0"/>
        <v>71051.74301383036</v>
      </c>
    </row>
    <row r="52" spans="1:19" s="1" customFormat="1" ht="21.75" customHeight="1" thickBot="1">
      <c r="A52" s="296"/>
      <c r="B52" s="236"/>
      <c r="C52" s="118"/>
      <c r="D52" s="118"/>
      <c r="E52" s="287"/>
      <c r="F52" s="138"/>
      <c r="G52" s="287"/>
      <c r="H52" s="138"/>
      <c r="I52" s="302">
        <v>2008</v>
      </c>
      <c r="J52" s="118">
        <v>7299.189243296535</v>
      </c>
      <c r="K52" s="138"/>
      <c r="L52" s="118">
        <v>7299.189243296535</v>
      </c>
      <c r="M52" s="118"/>
      <c r="N52" s="118"/>
      <c r="O52" s="416" t="s">
        <v>286</v>
      </c>
      <c r="P52" s="235"/>
      <c r="Q52" s="576"/>
      <c r="R52" s="576"/>
      <c r="S52" s="112">
        <f t="shared" si="0"/>
        <v>-10201.897601235694</v>
      </c>
    </row>
    <row r="53" spans="1:19" s="1" customFormat="1" ht="21.75" customHeight="1" thickBot="1">
      <c r="A53" s="296"/>
      <c r="B53" s="236"/>
      <c r="C53" s="118"/>
      <c r="D53" s="118"/>
      <c r="E53" s="287"/>
      <c r="F53" s="138"/>
      <c r="G53" s="287"/>
      <c r="H53" s="138"/>
      <c r="I53" s="302">
        <v>2008</v>
      </c>
      <c r="J53" s="118">
        <v>3587.9020591829776</v>
      </c>
      <c r="K53" s="138"/>
      <c r="L53" s="118">
        <v>3587.9020591829776</v>
      </c>
      <c r="M53" s="118"/>
      <c r="N53" s="118"/>
      <c r="O53" s="416" t="s">
        <v>287</v>
      </c>
      <c r="P53" s="235"/>
      <c r="Q53" s="576"/>
      <c r="R53" s="576"/>
      <c r="S53" s="112">
        <f t="shared" si="0"/>
        <v>-7299.189243296535</v>
      </c>
    </row>
    <row r="54" spans="1:19" s="1" customFormat="1" ht="34.5" customHeight="1" thickBot="1">
      <c r="A54" s="296"/>
      <c r="B54" s="236"/>
      <c r="C54" s="118"/>
      <c r="D54" s="118"/>
      <c r="E54" s="287"/>
      <c r="F54" s="138"/>
      <c r="G54" s="287"/>
      <c r="H54" s="138"/>
      <c r="I54" s="302">
        <v>2008</v>
      </c>
      <c r="J54" s="118">
        <v>13289.589327731162</v>
      </c>
      <c r="K54" s="138"/>
      <c r="L54" s="118">
        <v>13289.589327731162</v>
      </c>
      <c r="M54" s="118"/>
      <c r="N54" s="118"/>
      <c r="O54" s="402" t="s">
        <v>288</v>
      </c>
      <c r="P54" s="235"/>
      <c r="Q54" s="576"/>
      <c r="R54" s="576"/>
      <c r="S54" s="112">
        <f t="shared" si="0"/>
        <v>-3587.9020591829776</v>
      </c>
    </row>
    <row r="55" spans="1:19" s="1" customFormat="1" ht="21.75" customHeight="1" thickBot="1">
      <c r="A55" s="296"/>
      <c r="B55" s="236"/>
      <c r="C55" s="118"/>
      <c r="D55" s="118"/>
      <c r="E55" s="287"/>
      <c r="F55" s="138"/>
      <c r="G55" s="287"/>
      <c r="H55" s="138"/>
      <c r="I55" s="302">
        <v>2008</v>
      </c>
      <c r="J55" s="118">
        <v>381.480336699829</v>
      </c>
      <c r="K55" s="138"/>
      <c r="L55" s="118">
        <v>381.480336699829</v>
      </c>
      <c r="M55" s="118"/>
      <c r="N55" s="118"/>
      <c r="O55" s="416" t="s">
        <v>289</v>
      </c>
      <c r="P55" s="235"/>
      <c r="Q55" s="576"/>
      <c r="R55" s="576"/>
      <c r="S55" s="112">
        <f t="shared" si="0"/>
        <v>-13289.589327731162</v>
      </c>
    </row>
    <row r="56" spans="1:19" s="1" customFormat="1" ht="21.75" customHeight="1" thickBot="1">
      <c r="A56" s="296"/>
      <c r="B56" s="236"/>
      <c r="C56" s="118"/>
      <c r="D56" s="118"/>
      <c r="E56" s="287"/>
      <c r="F56" s="138"/>
      <c r="G56" s="287"/>
      <c r="H56" s="138"/>
      <c r="I56" s="302">
        <v>2008</v>
      </c>
      <c r="J56" s="118">
        <v>1130.4020780299927</v>
      </c>
      <c r="K56" s="138"/>
      <c r="L56" s="118">
        <v>1130.4020780299927</v>
      </c>
      <c r="M56" s="118"/>
      <c r="N56" s="118"/>
      <c r="O56" s="416" t="s">
        <v>290</v>
      </c>
      <c r="P56" s="235"/>
      <c r="Q56" s="576"/>
      <c r="R56" s="576"/>
      <c r="S56" s="112">
        <f t="shared" si="0"/>
        <v>-381.480336699829</v>
      </c>
    </row>
    <row r="57" spans="1:19" s="1" customFormat="1" ht="21.75" customHeight="1" thickBot="1">
      <c r="A57" s="296"/>
      <c r="B57" s="236"/>
      <c r="C57" s="118"/>
      <c r="D57" s="118"/>
      <c r="E57" s="287"/>
      <c r="F57" s="138"/>
      <c r="G57" s="287"/>
      <c r="H57" s="138"/>
      <c r="I57" s="302">
        <v>2008</v>
      </c>
      <c r="J57" s="118">
        <v>3132.5246707426477</v>
      </c>
      <c r="K57" s="138"/>
      <c r="L57" s="118">
        <v>3132.5246707426477</v>
      </c>
      <c r="M57" s="118"/>
      <c r="N57" s="118"/>
      <c r="O57" s="416" t="s">
        <v>291</v>
      </c>
      <c r="P57" s="235"/>
      <c r="Q57" s="576"/>
      <c r="R57" s="576"/>
      <c r="S57" s="112">
        <f t="shared" si="0"/>
        <v>-1130.4020780299927</v>
      </c>
    </row>
    <row r="58" spans="1:19" s="1" customFormat="1" ht="21.75" customHeight="1" thickBot="1">
      <c r="A58" s="296"/>
      <c r="B58" s="236"/>
      <c r="C58" s="118"/>
      <c r="D58" s="118"/>
      <c r="E58" s="287"/>
      <c r="F58" s="138"/>
      <c r="G58" s="287"/>
      <c r="H58" s="138"/>
      <c r="I58" s="302">
        <v>2008</v>
      </c>
      <c r="J58" s="118">
        <v>1174.1439057548732</v>
      </c>
      <c r="K58" s="138"/>
      <c r="L58" s="118">
        <v>1174.1439057548732</v>
      </c>
      <c r="M58" s="118"/>
      <c r="N58" s="118"/>
      <c r="O58" s="416" t="s">
        <v>292</v>
      </c>
      <c r="P58" s="235"/>
      <c r="Q58" s="576"/>
      <c r="R58" s="576"/>
      <c r="S58" s="112">
        <f t="shared" si="0"/>
        <v>-3132.5246707426477</v>
      </c>
    </row>
    <row r="59" spans="1:19" s="1" customFormat="1" ht="21.75" customHeight="1" thickBot="1">
      <c r="A59" s="296"/>
      <c r="B59" s="236"/>
      <c r="C59" s="118"/>
      <c r="D59" s="118"/>
      <c r="E59" s="287"/>
      <c r="F59" s="138"/>
      <c r="G59" s="287"/>
      <c r="H59" s="138"/>
      <c r="I59" s="302">
        <v>2008</v>
      </c>
      <c r="J59" s="118">
        <v>973.1760905929941</v>
      </c>
      <c r="K59" s="138"/>
      <c r="L59" s="118">
        <v>973.1760905929941</v>
      </c>
      <c r="M59" s="118"/>
      <c r="N59" s="118"/>
      <c r="O59" s="416" t="s">
        <v>293</v>
      </c>
      <c r="P59" s="235"/>
      <c r="Q59" s="576"/>
      <c r="R59" s="576"/>
      <c r="S59" s="112">
        <f t="shared" si="0"/>
        <v>-1174.1439057548732</v>
      </c>
    </row>
    <row r="60" spans="1:19" s="1" customFormat="1" ht="21.75" customHeight="1" thickBot="1">
      <c r="A60" s="296"/>
      <c r="B60" s="236"/>
      <c r="C60" s="118"/>
      <c r="D60" s="118"/>
      <c r="E60" s="287"/>
      <c r="F60" s="138"/>
      <c r="G60" s="287"/>
      <c r="H60" s="138"/>
      <c r="I60" s="302">
        <v>2008</v>
      </c>
      <c r="J60" s="118">
        <v>3660.0233032870033</v>
      </c>
      <c r="K60" s="138"/>
      <c r="L60" s="118">
        <v>3660.0233032870033</v>
      </c>
      <c r="M60" s="118"/>
      <c r="N60" s="118"/>
      <c r="O60" s="402" t="s">
        <v>294</v>
      </c>
      <c r="P60" s="235"/>
      <c r="Q60" s="576"/>
      <c r="R60" s="576"/>
      <c r="S60" s="112">
        <f t="shared" si="0"/>
        <v>-973.1760905929941</v>
      </c>
    </row>
    <row r="61" spans="1:19" s="1" customFormat="1" ht="34.5" customHeight="1" thickBot="1">
      <c r="A61" s="296"/>
      <c r="B61" s="236"/>
      <c r="C61" s="118"/>
      <c r="D61" s="118"/>
      <c r="E61" s="287"/>
      <c r="F61" s="138"/>
      <c r="G61" s="287"/>
      <c r="H61" s="138"/>
      <c r="I61" s="302">
        <v>2008</v>
      </c>
      <c r="J61" s="118">
        <v>6058.938489160738</v>
      </c>
      <c r="K61" s="138"/>
      <c r="L61" s="118">
        <v>6058.938489160738</v>
      </c>
      <c r="M61" s="118"/>
      <c r="N61" s="118"/>
      <c r="O61" s="402" t="s">
        <v>295</v>
      </c>
      <c r="P61" s="235"/>
      <c r="Q61" s="576"/>
      <c r="R61" s="576"/>
      <c r="S61" s="112">
        <f t="shared" si="0"/>
        <v>-3660.0233032870033</v>
      </c>
    </row>
    <row r="62" spans="1:19" s="1" customFormat="1" ht="34.5" customHeight="1" thickBot="1">
      <c r="A62" s="296"/>
      <c r="B62" s="236"/>
      <c r="C62" s="118"/>
      <c r="D62" s="118"/>
      <c r="E62" s="287"/>
      <c r="F62" s="138"/>
      <c r="G62" s="287"/>
      <c r="H62" s="138"/>
      <c r="I62" s="302">
        <v>2008</v>
      </c>
      <c r="J62" s="118">
        <v>466.34490298709284</v>
      </c>
      <c r="K62" s="138"/>
      <c r="L62" s="118">
        <v>466.34490298709284</v>
      </c>
      <c r="M62" s="118"/>
      <c r="N62" s="118"/>
      <c r="O62" s="402" t="s">
        <v>296</v>
      </c>
      <c r="P62" s="235"/>
      <c r="Q62" s="576"/>
      <c r="R62" s="576"/>
      <c r="S62" s="112">
        <f t="shared" si="0"/>
        <v>-6058.938489160738</v>
      </c>
    </row>
    <row r="63" spans="1:19" s="1" customFormat="1" ht="21.75" customHeight="1" thickBot="1">
      <c r="A63" s="296"/>
      <c r="B63" s="236"/>
      <c r="C63" s="118"/>
      <c r="D63" s="118"/>
      <c r="E63" s="287"/>
      <c r="F63" s="138"/>
      <c r="G63" s="287"/>
      <c r="H63" s="138"/>
      <c r="I63" s="302">
        <v>2008</v>
      </c>
      <c r="J63" s="118">
        <v>12179.736662120846</v>
      </c>
      <c r="K63" s="138"/>
      <c r="L63" s="118">
        <v>12179.736662120846</v>
      </c>
      <c r="M63" s="118"/>
      <c r="N63" s="118"/>
      <c r="O63" s="402" t="s">
        <v>297</v>
      </c>
      <c r="P63" s="235"/>
      <c r="Q63" s="576"/>
      <c r="R63" s="576"/>
      <c r="S63" s="112">
        <f t="shared" si="0"/>
        <v>-466.34490298709284</v>
      </c>
    </row>
    <row r="64" spans="1:19" s="1" customFormat="1" ht="21.75" customHeight="1" thickBot="1">
      <c r="A64" s="296"/>
      <c r="B64" s="236"/>
      <c r="C64" s="118"/>
      <c r="D64" s="118"/>
      <c r="E64" s="287"/>
      <c r="F64" s="138"/>
      <c r="G64" s="287"/>
      <c r="H64" s="138"/>
      <c r="I64" s="302">
        <v>2008</v>
      </c>
      <c r="J64" s="118">
        <v>20298.43636414761</v>
      </c>
      <c r="K64" s="138"/>
      <c r="L64" s="118">
        <v>20298.43636414761</v>
      </c>
      <c r="M64" s="118"/>
      <c r="N64" s="118"/>
      <c r="O64" s="402" t="s">
        <v>298</v>
      </c>
      <c r="P64" s="235"/>
      <c r="Q64" s="576"/>
      <c r="R64" s="576"/>
      <c r="S64" s="112">
        <f t="shared" si="0"/>
        <v>-12179.736662120846</v>
      </c>
    </row>
    <row r="65" spans="1:19" s="1" customFormat="1" ht="21.75" customHeight="1" thickBot="1">
      <c r="A65" s="296"/>
      <c r="B65" s="236"/>
      <c r="C65" s="118"/>
      <c r="D65" s="118"/>
      <c r="E65" s="287"/>
      <c r="F65" s="138"/>
      <c r="G65" s="287"/>
      <c r="H65" s="138"/>
      <c r="I65" s="302">
        <v>2008</v>
      </c>
      <c r="J65" s="118">
        <v>2486.2694958272996</v>
      </c>
      <c r="K65" s="138"/>
      <c r="L65" s="118">
        <v>2486.2694958272996</v>
      </c>
      <c r="M65" s="118"/>
      <c r="N65" s="118"/>
      <c r="O65" s="402" t="s">
        <v>299</v>
      </c>
      <c r="P65" s="235"/>
      <c r="Q65" s="576"/>
      <c r="R65" s="576"/>
      <c r="S65" s="112">
        <f t="shared" si="0"/>
        <v>-20298.43636414761</v>
      </c>
    </row>
    <row r="66" spans="1:19" s="1" customFormat="1" ht="21.75" customHeight="1" thickBot="1">
      <c r="A66" s="296"/>
      <c r="B66" s="236"/>
      <c r="C66" s="118"/>
      <c r="D66" s="118"/>
      <c r="E66" s="287"/>
      <c r="F66" s="138"/>
      <c r="G66" s="287"/>
      <c r="H66" s="138"/>
      <c r="I66" s="302">
        <v>2008</v>
      </c>
      <c r="J66" s="118">
        <v>5153.191985570255</v>
      </c>
      <c r="K66" s="138"/>
      <c r="L66" s="118">
        <v>5153.191985570255</v>
      </c>
      <c r="M66" s="118"/>
      <c r="N66" s="118"/>
      <c r="O66" s="402" t="s">
        <v>300</v>
      </c>
      <c r="P66" s="235"/>
      <c r="Q66" s="576"/>
      <c r="R66" s="576"/>
      <c r="S66" s="112">
        <f t="shared" si="0"/>
        <v>-2486.2694958272996</v>
      </c>
    </row>
    <row r="67" spans="1:19" s="1" customFormat="1" ht="34.5" customHeight="1" thickBot="1">
      <c r="A67" s="296"/>
      <c r="B67" s="236"/>
      <c r="C67" s="118"/>
      <c r="D67" s="118"/>
      <c r="E67" s="287"/>
      <c r="F67" s="138"/>
      <c r="G67" s="287"/>
      <c r="H67" s="138"/>
      <c r="I67" s="302">
        <v>2008</v>
      </c>
      <c r="J67" s="118">
        <v>4883.072589522226</v>
      </c>
      <c r="K67" s="138"/>
      <c r="L67" s="118">
        <v>4883.072589522226</v>
      </c>
      <c r="M67" s="118"/>
      <c r="N67" s="118"/>
      <c r="O67" s="402" t="s">
        <v>301</v>
      </c>
      <c r="P67" s="235"/>
      <c r="Q67" s="576"/>
      <c r="R67" s="576"/>
      <c r="S67" s="112">
        <f t="shared" si="0"/>
        <v>-5153.191985570255</v>
      </c>
    </row>
    <row r="68" spans="1:19" s="1" customFormat="1" ht="21.75" customHeight="1" thickBot="1">
      <c r="A68" s="296"/>
      <c r="B68" s="236"/>
      <c r="C68" s="127"/>
      <c r="D68" s="127"/>
      <c r="E68" s="298"/>
      <c r="F68" s="299"/>
      <c r="G68" s="298"/>
      <c r="H68" s="299"/>
      <c r="I68" s="228">
        <v>2008</v>
      </c>
      <c r="J68" s="127">
        <v>6872.670404219758</v>
      </c>
      <c r="K68" s="299"/>
      <c r="L68" s="127">
        <v>6872.670404219758</v>
      </c>
      <c r="M68" s="127"/>
      <c r="N68" s="127"/>
      <c r="O68" s="253" t="s">
        <v>302</v>
      </c>
      <c r="P68" s="248"/>
      <c r="Q68" s="578"/>
      <c r="R68" s="578"/>
      <c r="S68" s="112">
        <f t="shared" si="0"/>
        <v>-4883.072589522226</v>
      </c>
    </row>
    <row r="69" spans="1:19" s="1" customFormat="1" ht="21.75" customHeight="1" thickBot="1">
      <c r="A69" s="296"/>
      <c r="B69" s="123"/>
      <c r="C69" s="112">
        <v>40000</v>
      </c>
      <c r="D69" s="112"/>
      <c r="E69" s="285"/>
      <c r="F69" s="286"/>
      <c r="G69" s="285">
        <v>2009</v>
      </c>
      <c r="H69" s="286">
        <v>40000</v>
      </c>
      <c r="I69" s="300">
        <v>2009</v>
      </c>
      <c r="J69" s="112">
        <v>8017.340834903971</v>
      </c>
      <c r="K69" s="286">
        <v>40000</v>
      </c>
      <c r="L69" s="112">
        <v>8017.340834903971</v>
      </c>
      <c r="M69" s="112"/>
      <c r="N69" s="112"/>
      <c r="O69" s="309" t="s">
        <v>303</v>
      </c>
      <c r="P69" s="231"/>
      <c r="Q69" s="575" t="s">
        <v>91</v>
      </c>
      <c r="R69" s="575" t="s">
        <v>92</v>
      </c>
      <c r="S69" s="112">
        <f t="shared" si="0"/>
        <v>-6872.670404219758</v>
      </c>
    </row>
    <row r="70" spans="1:19" s="1" customFormat="1" ht="38.25" customHeight="1" thickBot="1">
      <c r="A70" s="296"/>
      <c r="B70" s="123"/>
      <c r="C70" s="118">
        <v>40000</v>
      </c>
      <c r="D70" s="118"/>
      <c r="E70" s="287"/>
      <c r="F70" s="138"/>
      <c r="G70" s="287">
        <v>2010</v>
      </c>
      <c r="H70" s="138">
        <v>40000</v>
      </c>
      <c r="I70" s="302">
        <v>2010</v>
      </c>
      <c r="J70" s="118">
        <v>21723.87001412417</v>
      </c>
      <c r="K70" s="138">
        <v>40000</v>
      </c>
      <c r="L70" s="118">
        <v>21723.87001412417</v>
      </c>
      <c r="M70" s="118"/>
      <c r="N70" s="118"/>
      <c r="O70" s="310" t="s">
        <v>304</v>
      </c>
      <c r="P70" s="235"/>
      <c r="Q70" s="576"/>
      <c r="R70" s="576"/>
      <c r="S70" s="112">
        <f t="shared" si="0"/>
        <v>31982.65916509603</v>
      </c>
    </row>
    <row r="71" spans="1:19" s="1" customFormat="1" ht="21.75" customHeight="1" thickBot="1">
      <c r="A71" s="296"/>
      <c r="B71" s="236"/>
      <c r="C71" s="118"/>
      <c r="D71" s="118"/>
      <c r="E71" s="287"/>
      <c r="F71" s="138"/>
      <c r="G71" s="287"/>
      <c r="H71" s="138"/>
      <c r="I71" s="302">
        <v>2010</v>
      </c>
      <c r="J71" s="118">
        <v>8194.038706272984</v>
      </c>
      <c r="K71" s="138"/>
      <c r="L71" s="118">
        <v>8194.038706272984</v>
      </c>
      <c r="M71" s="118"/>
      <c r="N71" s="118"/>
      <c r="O71" s="402" t="s">
        <v>305</v>
      </c>
      <c r="P71" s="235"/>
      <c r="Q71" s="576"/>
      <c r="R71" s="576"/>
      <c r="S71" s="112">
        <f t="shared" si="0"/>
        <v>18276.12998587583</v>
      </c>
    </row>
    <row r="72" spans="1:19" s="1" customFormat="1" ht="34.5" customHeight="1" thickBot="1">
      <c r="A72" s="296"/>
      <c r="B72" s="236"/>
      <c r="C72" s="118"/>
      <c r="D72" s="118"/>
      <c r="E72" s="287"/>
      <c r="F72" s="138"/>
      <c r="G72" s="287"/>
      <c r="H72" s="138"/>
      <c r="I72" s="302">
        <v>2010</v>
      </c>
      <c r="J72" s="118">
        <v>7677.525171810198</v>
      </c>
      <c r="K72" s="138"/>
      <c r="L72" s="118">
        <v>7677.525171810198</v>
      </c>
      <c r="M72" s="118"/>
      <c r="N72" s="118"/>
      <c r="O72" s="402" t="s">
        <v>306</v>
      </c>
      <c r="P72" s="235"/>
      <c r="Q72" s="576"/>
      <c r="R72" s="576"/>
      <c r="S72" s="112">
        <f t="shared" si="0"/>
        <v>-8194.038706272984</v>
      </c>
    </row>
    <row r="73" spans="1:19" s="1" customFormat="1" ht="34.5" customHeight="1" thickBot="1">
      <c r="A73" s="296"/>
      <c r="B73" s="236"/>
      <c r="C73" s="118"/>
      <c r="D73" s="118"/>
      <c r="E73" s="287"/>
      <c r="F73" s="138"/>
      <c r="G73" s="287"/>
      <c r="H73" s="138"/>
      <c r="I73" s="302">
        <v>2010</v>
      </c>
      <c r="J73" s="118">
        <v>6648.0258645641425</v>
      </c>
      <c r="K73" s="138"/>
      <c r="L73" s="118">
        <v>6648.0258645641425</v>
      </c>
      <c r="M73" s="118"/>
      <c r="N73" s="118"/>
      <c r="O73" s="402" t="s">
        <v>307</v>
      </c>
      <c r="P73" s="235"/>
      <c r="Q73" s="576"/>
      <c r="R73" s="576"/>
      <c r="S73" s="112">
        <f t="shared" si="0"/>
        <v>-7677.525171810198</v>
      </c>
    </row>
    <row r="74" spans="1:19" s="1" customFormat="1" ht="34.5" customHeight="1" thickBot="1">
      <c r="A74" s="296"/>
      <c r="B74" s="236"/>
      <c r="C74" s="118"/>
      <c r="D74" s="118"/>
      <c r="E74" s="287"/>
      <c r="F74" s="138"/>
      <c r="G74" s="287"/>
      <c r="H74" s="138"/>
      <c r="I74" s="302">
        <v>2010</v>
      </c>
      <c r="J74" s="118">
        <v>1875.40733341253</v>
      </c>
      <c r="K74" s="138"/>
      <c r="L74" s="118">
        <v>1875.40733341253</v>
      </c>
      <c r="M74" s="118"/>
      <c r="N74" s="118"/>
      <c r="O74" s="402" t="s">
        <v>308</v>
      </c>
      <c r="P74" s="235"/>
      <c r="Q74" s="576"/>
      <c r="R74" s="576"/>
      <c r="S74" s="112">
        <f t="shared" si="0"/>
        <v>-6648.0258645641425</v>
      </c>
    </row>
    <row r="75" spans="1:19" s="1" customFormat="1" ht="21.75" customHeight="1" thickBot="1">
      <c r="A75" s="296"/>
      <c r="B75" s="236"/>
      <c r="C75" s="118"/>
      <c r="D75" s="118"/>
      <c r="E75" s="287"/>
      <c r="F75" s="138"/>
      <c r="G75" s="287"/>
      <c r="H75" s="138"/>
      <c r="I75" s="302">
        <v>2010</v>
      </c>
      <c r="J75" s="118">
        <v>8430.858168228617</v>
      </c>
      <c r="K75" s="138"/>
      <c r="L75" s="118">
        <v>8430.858168228617</v>
      </c>
      <c r="M75" s="118"/>
      <c r="N75" s="118"/>
      <c r="O75" s="402" t="s">
        <v>309</v>
      </c>
      <c r="P75" s="235"/>
      <c r="Q75" s="576"/>
      <c r="R75" s="576"/>
      <c r="S75" s="112">
        <f aca="true" t="shared" si="1" ref="S75:S110">+K74-L74-M74</f>
        <v>-1875.40733341253</v>
      </c>
    </row>
    <row r="76" spans="1:19" s="1" customFormat="1" ht="21.75" customHeight="1" thickBot="1">
      <c r="A76" s="296"/>
      <c r="B76" s="236"/>
      <c r="C76" s="118"/>
      <c r="D76" s="118"/>
      <c r="E76" s="287"/>
      <c r="F76" s="138"/>
      <c r="G76" s="287"/>
      <c r="H76" s="138"/>
      <c r="I76" s="302">
        <v>2010</v>
      </c>
      <c r="J76" s="118">
        <v>6209.992721325204</v>
      </c>
      <c r="K76" s="138"/>
      <c r="L76" s="118">
        <v>6209.992721325204</v>
      </c>
      <c r="M76" s="118"/>
      <c r="N76" s="118"/>
      <c r="O76" s="402" t="s">
        <v>310</v>
      </c>
      <c r="P76" s="235"/>
      <c r="Q76" s="576"/>
      <c r="R76" s="576"/>
      <c r="S76" s="112">
        <f t="shared" si="1"/>
        <v>-8430.858168228617</v>
      </c>
    </row>
    <row r="77" spans="1:19" s="1" customFormat="1" ht="34.5" customHeight="1" thickBot="1">
      <c r="A77" s="296"/>
      <c r="B77" s="236"/>
      <c r="C77" s="118"/>
      <c r="D77" s="118"/>
      <c r="E77" s="287"/>
      <c r="F77" s="138"/>
      <c r="G77" s="287"/>
      <c r="H77" s="138"/>
      <c r="I77" s="302">
        <v>2010</v>
      </c>
      <c r="J77" s="118">
        <v>1665.2136117125624</v>
      </c>
      <c r="K77" s="138"/>
      <c r="L77" s="118">
        <v>1665.2136117125624</v>
      </c>
      <c r="M77" s="118"/>
      <c r="N77" s="118"/>
      <c r="O77" s="402" t="s">
        <v>311</v>
      </c>
      <c r="P77" s="235"/>
      <c r="Q77" s="576"/>
      <c r="R77" s="576"/>
      <c r="S77" s="112">
        <f t="shared" si="1"/>
        <v>-6209.992721325204</v>
      </c>
    </row>
    <row r="78" spans="1:19" s="1" customFormat="1" ht="34.5" customHeight="1" thickBot="1">
      <c r="A78" s="296"/>
      <c r="B78" s="236"/>
      <c r="C78" s="118"/>
      <c r="D78" s="118"/>
      <c r="E78" s="287"/>
      <c r="F78" s="138"/>
      <c r="G78" s="287"/>
      <c r="H78" s="138"/>
      <c r="I78" s="302">
        <v>2010</v>
      </c>
      <c r="J78" s="118">
        <v>1903.7278760118113</v>
      </c>
      <c r="K78" s="138"/>
      <c r="L78" s="118">
        <v>1903.7278760118113</v>
      </c>
      <c r="M78" s="118"/>
      <c r="N78" s="118"/>
      <c r="O78" s="402" t="s">
        <v>312</v>
      </c>
      <c r="P78" s="235"/>
      <c r="Q78" s="576"/>
      <c r="R78" s="576"/>
      <c r="S78" s="112">
        <f t="shared" si="1"/>
        <v>-1665.2136117125624</v>
      </c>
    </row>
    <row r="79" spans="1:19" s="1" customFormat="1" ht="21.75" customHeight="1" thickBot="1">
      <c r="A79" s="296"/>
      <c r="B79" s="236"/>
      <c r="C79" s="118"/>
      <c r="D79" s="118"/>
      <c r="E79" s="287"/>
      <c r="F79" s="138"/>
      <c r="G79" s="287"/>
      <c r="H79" s="138"/>
      <c r="I79" s="302">
        <v>2010</v>
      </c>
      <c r="J79" s="118">
        <v>41518.89882100238</v>
      </c>
      <c r="K79" s="138"/>
      <c r="L79" s="118">
        <v>41518.89882100238</v>
      </c>
      <c r="M79" s="118"/>
      <c r="N79" s="118"/>
      <c r="O79" s="402" t="s">
        <v>313</v>
      </c>
      <c r="P79" s="235"/>
      <c r="Q79" s="576"/>
      <c r="R79" s="576"/>
      <c r="S79" s="112">
        <f t="shared" si="1"/>
        <v>-1903.7278760118113</v>
      </c>
    </row>
    <row r="80" spans="1:19" s="1" customFormat="1" ht="34.5" customHeight="1" thickBot="1">
      <c r="A80" s="296"/>
      <c r="B80" s="236"/>
      <c r="C80" s="118"/>
      <c r="D80" s="118"/>
      <c r="E80" s="287"/>
      <c r="F80" s="138"/>
      <c r="G80" s="287"/>
      <c r="H80" s="138"/>
      <c r="I80" s="302">
        <v>2010</v>
      </c>
      <c r="J80" s="118">
        <v>1994.3615751789973</v>
      </c>
      <c r="K80" s="138"/>
      <c r="L80" s="118">
        <v>1994.3615751789973</v>
      </c>
      <c r="M80" s="118"/>
      <c r="N80" s="118"/>
      <c r="O80" s="402" t="s">
        <v>314</v>
      </c>
      <c r="P80" s="235"/>
      <c r="Q80" s="576"/>
      <c r="R80" s="576"/>
      <c r="S80" s="112">
        <f t="shared" si="1"/>
        <v>-41518.89882100238</v>
      </c>
    </row>
    <row r="81" spans="1:19" s="1" customFormat="1" ht="34.5" customHeight="1" thickBot="1">
      <c r="A81" s="296"/>
      <c r="B81" s="236"/>
      <c r="C81" s="118"/>
      <c r="D81" s="118"/>
      <c r="E81" s="287"/>
      <c r="F81" s="138"/>
      <c r="G81" s="287"/>
      <c r="H81" s="138"/>
      <c r="I81" s="302">
        <v>2010</v>
      </c>
      <c r="J81" s="118">
        <v>9493.988663484486</v>
      </c>
      <c r="K81" s="138"/>
      <c r="L81" s="118">
        <v>9493.988663484486</v>
      </c>
      <c r="M81" s="118"/>
      <c r="N81" s="118"/>
      <c r="O81" s="402" t="s">
        <v>315</v>
      </c>
      <c r="P81" s="235"/>
      <c r="Q81" s="576"/>
      <c r="R81" s="576"/>
      <c r="S81" s="112">
        <f t="shared" si="1"/>
        <v>-1994.3615751789973</v>
      </c>
    </row>
    <row r="82" spans="1:19" s="1" customFormat="1" ht="34.5" customHeight="1" thickBot="1">
      <c r="A82" s="296"/>
      <c r="B82" s="236"/>
      <c r="C82" s="118"/>
      <c r="D82" s="118"/>
      <c r="E82" s="287"/>
      <c r="F82" s="138"/>
      <c r="G82" s="287"/>
      <c r="H82" s="138"/>
      <c r="I82" s="302">
        <v>2010</v>
      </c>
      <c r="J82" s="118">
        <v>2437.0077565632455</v>
      </c>
      <c r="K82" s="138"/>
      <c r="L82" s="118">
        <v>2437.0077565632455</v>
      </c>
      <c r="M82" s="118"/>
      <c r="N82" s="118"/>
      <c r="O82" s="402" t="s">
        <v>316</v>
      </c>
      <c r="P82" s="235"/>
      <c r="Q82" s="576"/>
      <c r="R82" s="576"/>
      <c r="S82" s="112">
        <f t="shared" si="1"/>
        <v>-9493.988663484486</v>
      </c>
    </row>
    <row r="83" spans="1:19" s="1" customFormat="1" ht="33" customHeight="1" thickBot="1">
      <c r="A83" s="296"/>
      <c r="B83" s="236"/>
      <c r="C83" s="118"/>
      <c r="D83" s="118"/>
      <c r="E83" s="287"/>
      <c r="F83" s="138"/>
      <c r="G83" s="287"/>
      <c r="H83" s="138"/>
      <c r="I83" s="302">
        <v>2010</v>
      </c>
      <c r="J83" s="118">
        <v>2838.0220763723146</v>
      </c>
      <c r="K83" s="138"/>
      <c r="L83" s="118">
        <v>2838.0220763723146</v>
      </c>
      <c r="M83" s="118"/>
      <c r="N83" s="118"/>
      <c r="O83" s="402" t="s">
        <v>317</v>
      </c>
      <c r="P83" s="235"/>
      <c r="Q83" s="576"/>
      <c r="R83" s="576"/>
      <c r="S83" s="112">
        <f t="shared" si="1"/>
        <v>-2437.0077565632455</v>
      </c>
    </row>
    <row r="84" spans="1:19" s="1" customFormat="1" ht="34.5" customHeight="1" thickBot="1">
      <c r="A84" s="296"/>
      <c r="B84" s="236"/>
      <c r="C84" s="118"/>
      <c r="D84" s="118"/>
      <c r="E84" s="287"/>
      <c r="F84" s="138"/>
      <c r="G84" s="287"/>
      <c r="H84" s="138"/>
      <c r="I84" s="302">
        <v>2010</v>
      </c>
      <c r="J84" s="118">
        <v>1489.5286396181382</v>
      </c>
      <c r="K84" s="138"/>
      <c r="L84" s="118">
        <v>1489.5286396181382</v>
      </c>
      <c r="M84" s="118"/>
      <c r="N84" s="118"/>
      <c r="O84" s="402" t="s">
        <v>318</v>
      </c>
      <c r="P84" s="235"/>
      <c r="Q84" s="576"/>
      <c r="R84" s="576"/>
      <c r="S84" s="112">
        <f t="shared" si="1"/>
        <v>-2838.0220763723146</v>
      </c>
    </row>
    <row r="85" spans="1:19" s="1" customFormat="1" ht="19.5" customHeight="1" thickBot="1">
      <c r="A85" s="296"/>
      <c r="B85" s="236"/>
      <c r="C85" s="118"/>
      <c r="D85" s="118"/>
      <c r="E85" s="287"/>
      <c r="F85" s="138"/>
      <c r="G85" s="287"/>
      <c r="H85" s="138"/>
      <c r="I85" s="302">
        <v>2010</v>
      </c>
      <c r="J85" s="118">
        <v>3268.585918854415</v>
      </c>
      <c r="K85" s="138"/>
      <c r="L85" s="118">
        <v>3268.585918854415</v>
      </c>
      <c r="M85" s="118"/>
      <c r="N85" s="118"/>
      <c r="O85" s="402" t="s">
        <v>319</v>
      </c>
      <c r="P85" s="235"/>
      <c r="Q85" s="576"/>
      <c r="R85" s="576"/>
      <c r="S85" s="112">
        <f t="shared" si="1"/>
        <v>-1489.5286396181382</v>
      </c>
    </row>
    <row r="86" spans="1:19" s="1" customFormat="1" ht="34.5" customHeight="1" thickBot="1">
      <c r="A86" s="296"/>
      <c r="B86" s="236"/>
      <c r="C86" s="118"/>
      <c r="D86" s="118"/>
      <c r="E86" s="287"/>
      <c r="F86" s="138"/>
      <c r="G86" s="287"/>
      <c r="H86" s="138"/>
      <c r="I86" s="302">
        <v>2010</v>
      </c>
      <c r="J86" s="118">
        <v>3993.1980906921235</v>
      </c>
      <c r="K86" s="138"/>
      <c r="L86" s="118">
        <v>3993.1980906921235</v>
      </c>
      <c r="M86" s="118"/>
      <c r="N86" s="118"/>
      <c r="O86" s="402" t="s">
        <v>320</v>
      </c>
      <c r="P86" s="235"/>
      <c r="Q86" s="576"/>
      <c r="R86" s="576"/>
      <c r="S86" s="112">
        <f t="shared" si="1"/>
        <v>-3268.585918854415</v>
      </c>
    </row>
    <row r="87" spans="1:19" s="1" customFormat="1" ht="34.5" customHeight="1" thickBot="1">
      <c r="A87" s="296"/>
      <c r="B87" s="236"/>
      <c r="C87" s="118"/>
      <c r="D87" s="118"/>
      <c r="E87" s="287"/>
      <c r="F87" s="138"/>
      <c r="G87" s="287"/>
      <c r="H87" s="138"/>
      <c r="I87" s="302">
        <v>2010</v>
      </c>
      <c r="J87" s="118">
        <v>3010.6056085918854</v>
      </c>
      <c r="K87" s="138"/>
      <c r="L87" s="118">
        <v>3010.6056085918854</v>
      </c>
      <c r="M87" s="118"/>
      <c r="N87" s="118"/>
      <c r="O87" s="402" t="s">
        <v>321</v>
      </c>
      <c r="P87" s="235"/>
      <c r="Q87" s="576"/>
      <c r="R87" s="576"/>
      <c r="S87" s="112">
        <f t="shared" si="1"/>
        <v>-3993.1980906921235</v>
      </c>
    </row>
    <row r="88" spans="1:19" s="1" customFormat="1" ht="34.5" customHeight="1" thickBot="1">
      <c r="A88" s="296"/>
      <c r="B88" s="236"/>
      <c r="C88" s="118"/>
      <c r="D88" s="118"/>
      <c r="E88" s="287"/>
      <c r="F88" s="138"/>
      <c r="G88" s="287"/>
      <c r="H88" s="138"/>
      <c r="I88" s="302">
        <v>2010</v>
      </c>
      <c r="J88" s="118">
        <v>2378.4904534606203</v>
      </c>
      <c r="K88" s="138"/>
      <c r="L88" s="118">
        <v>2378.4904534606203</v>
      </c>
      <c r="M88" s="118"/>
      <c r="N88" s="118"/>
      <c r="O88" s="402" t="s">
        <v>322</v>
      </c>
      <c r="P88" s="235"/>
      <c r="Q88" s="576"/>
      <c r="R88" s="576"/>
      <c r="S88" s="112">
        <f t="shared" si="1"/>
        <v>-3010.6056085918854</v>
      </c>
    </row>
    <row r="89" spans="1:19" s="1" customFormat="1" ht="21.75" customHeight="1" thickBot="1">
      <c r="A89" s="296"/>
      <c r="B89" s="236"/>
      <c r="C89" s="118"/>
      <c r="D89" s="118"/>
      <c r="E89" s="287"/>
      <c r="F89" s="138"/>
      <c r="G89" s="287"/>
      <c r="H89" s="138"/>
      <c r="I89" s="302">
        <v>2010</v>
      </c>
      <c r="J89" s="118">
        <v>4140.841288782816</v>
      </c>
      <c r="K89" s="138"/>
      <c r="L89" s="118">
        <v>4140.841288782816</v>
      </c>
      <c r="M89" s="118"/>
      <c r="N89" s="118"/>
      <c r="O89" s="402" t="s">
        <v>323</v>
      </c>
      <c r="P89" s="235"/>
      <c r="Q89" s="576"/>
      <c r="R89" s="576"/>
      <c r="S89" s="112">
        <f t="shared" si="1"/>
        <v>-2378.4904534606203</v>
      </c>
    </row>
    <row r="90" spans="1:19" s="1" customFormat="1" ht="21.75" customHeight="1" thickBot="1">
      <c r="A90" s="296"/>
      <c r="B90" s="236"/>
      <c r="C90" s="118"/>
      <c r="D90" s="118"/>
      <c r="E90" s="287"/>
      <c r="F90" s="138"/>
      <c r="G90" s="287"/>
      <c r="H90" s="138"/>
      <c r="I90" s="302">
        <v>2010</v>
      </c>
      <c r="J90" s="118">
        <v>9695.301312649164</v>
      </c>
      <c r="K90" s="138"/>
      <c r="L90" s="118">
        <v>9695.301312649164</v>
      </c>
      <c r="M90" s="118"/>
      <c r="N90" s="118"/>
      <c r="O90" s="402" t="s">
        <v>324</v>
      </c>
      <c r="P90" s="235"/>
      <c r="Q90" s="576"/>
      <c r="R90" s="576"/>
      <c r="S90" s="112">
        <f t="shared" si="1"/>
        <v>-4140.841288782816</v>
      </c>
    </row>
    <row r="91" spans="1:19" s="1" customFormat="1" ht="34.5" customHeight="1" thickBot="1">
      <c r="A91" s="296"/>
      <c r="B91" s="236"/>
      <c r="C91" s="118"/>
      <c r="D91" s="118"/>
      <c r="E91" s="287"/>
      <c r="F91" s="138"/>
      <c r="G91" s="287"/>
      <c r="H91" s="138"/>
      <c r="I91" s="302">
        <v>2010</v>
      </c>
      <c r="J91" s="118">
        <v>9377.371718377088</v>
      </c>
      <c r="K91" s="138"/>
      <c r="L91" s="118">
        <v>9377.371718377088</v>
      </c>
      <c r="M91" s="118"/>
      <c r="N91" s="118"/>
      <c r="O91" s="402" t="s">
        <v>325</v>
      </c>
      <c r="P91" s="235"/>
      <c r="Q91" s="576"/>
      <c r="R91" s="576"/>
      <c r="S91" s="112">
        <f t="shared" si="1"/>
        <v>-9695.301312649164</v>
      </c>
    </row>
    <row r="92" spans="1:19" s="1" customFormat="1" ht="34.5" customHeight="1" thickBot="1">
      <c r="A92" s="296"/>
      <c r="B92" s="236"/>
      <c r="C92" s="118"/>
      <c r="D92" s="118"/>
      <c r="E92" s="287"/>
      <c r="F92" s="138"/>
      <c r="G92" s="287"/>
      <c r="H92" s="138"/>
      <c r="I92" s="302">
        <v>2010</v>
      </c>
      <c r="J92" s="118">
        <v>2801.96316563369</v>
      </c>
      <c r="K92" s="138"/>
      <c r="L92" s="118">
        <v>2801.96316563369</v>
      </c>
      <c r="M92" s="118"/>
      <c r="N92" s="118"/>
      <c r="O92" s="402" t="s">
        <v>326</v>
      </c>
      <c r="P92" s="235"/>
      <c r="Q92" s="576"/>
      <c r="R92" s="576"/>
      <c r="S92" s="112">
        <f t="shared" si="1"/>
        <v>-9377.371718377088</v>
      </c>
    </row>
    <row r="93" spans="1:19" s="1" customFormat="1" ht="32.25" thickBot="1">
      <c r="A93" s="296"/>
      <c r="B93" s="236"/>
      <c r="C93" s="127"/>
      <c r="D93" s="127"/>
      <c r="E93" s="298"/>
      <c r="F93" s="299"/>
      <c r="G93" s="298"/>
      <c r="H93" s="299"/>
      <c r="I93" s="228">
        <v>2010</v>
      </c>
      <c r="J93" s="127">
        <v>9863.480755637482</v>
      </c>
      <c r="K93" s="299"/>
      <c r="L93" s="127">
        <v>9863.480755637482</v>
      </c>
      <c r="M93" s="127"/>
      <c r="N93" s="127"/>
      <c r="O93" s="403" t="s">
        <v>327</v>
      </c>
      <c r="P93" s="248"/>
      <c r="Q93" s="578"/>
      <c r="R93" s="578"/>
      <c r="S93" s="112">
        <f t="shared" si="1"/>
        <v>-2801.96316563369</v>
      </c>
    </row>
    <row r="94" spans="1:19" s="1" customFormat="1" ht="21.75" customHeight="1" thickBot="1">
      <c r="A94" s="296"/>
      <c r="B94" s="123"/>
      <c r="C94" s="133">
        <v>40000</v>
      </c>
      <c r="D94" s="133"/>
      <c r="E94" s="111"/>
      <c r="F94" s="133"/>
      <c r="G94" s="111" t="s">
        <v>328</v>
      </c>
      <c r="H94" s="133">
        <v>40000</v>
      </c>
      <c r="I94" s="307">
        <v>2011</v>
      </c>
      <c r="J94" s="133">
        <v>5598.045009141182</v>
      </c>
      <c r="K94" s="133">
        <v>40000</v>
      </c>
      <c r="L94" s="133">
        <v>5598.045009141182</v>
      </c>
      <c r="M94" s="133"/>
      <c r="N94" s="133"/>
      <c r="O94" s="308" t="s">
        <v>329</v>
      </c>
      <c r="P94" s="234"/>
      <c r="Q94" s="575" t="s">
        <v>91</v>
      </c>
      <c r="R94" s="575" t="s">
        <v>92</v>
      </c>
      <c r="S94" s="112">
        <f t="shared" si="1"/>
        <v>-9863.480755637482</v>
      </c>
    </row>
    <row r="95" spans="1:19" s="1" customFormat="1" ht="21.75" customHeight="1" thickBot="1">
      <c r="A95" s="296"/>
      <c r="B95" s="236"/>
      <c r="C95" s="118"/>
      <c r="D95" s="118"/>
      <c r="E95" s="287"/>
      <c r="F95" s="138"/>
      <c r="G95" s="287"/>
      <c r="H95" s="138"/>
      <c r="I95" s="302">
        <v>2011</v>
      </c>
      <c r="J95" s="118">
        <v>3949.9358038255627</v>
      </c>
      <c r="K95" s="138"/>
      <c r="L95" s="118">
        <v>3949.9358038255627</v>
      </c>
      <c r="M95" s="118"/>
      <c r="N95" s="118"/>
      <c r="O95" s="402" t="s">
        <v>330</v>
      </c>
      <c r="P95" s="235"/>
      <c r="Q95" s="576"/>
      <c r="R95" s="576"/>
      <c r="S95" s="112">
        <f t="shared" si="1"/>
        <v>34401.954990858816</v>
      </c>
    </row>
    <row r="96" spans="1:19" s="1" customFormat="1" ht="34.5" customHeight="1" thickBot="1">
      <c r="A96" s="296"/>
      <c r="B96" s="236"/>
      <c r="C96" s="118"/>
      <c r="D96" s="118"/>
      <c r="E96" s="287"/>
      <c r="F96" s="138"/>
      <c r="G96" s="287"/>
      <c r="H96" s="138"/>
      <c r="I96" s="302">
        <v>2011</v>
      </c>
      <c r="J96" s="118">
        <v>4070.050059156239</v>
      </c>
      <c r="K96" s="138"/>
      <c r="L96" s="118">
        <v>4070.050059156239</v>
      </c>
      <c r="M96" s="118"/>
      <c r="N96" s="118"/>
      <c r="O96" s="402" t="s">
        <v>331</v>
      </c>
      <c r="P96" s="235"/>
      <c r="Q96" s="576"/>
      <c r="R96" s="576"/>
      <c r="S96" s="112">
        <f t="shared" si="1"/>
        <v>-3949.9358038255627</v>
      </c>
    </row>
    <row r="97" spans="1:19" s="1" customFormat="1" ht="34.5" customHeight="1" thickBot="1">
      <c r="A97" s="296"/>
      <c r="B97" s="236"/>
      <c r="C97" s="118"/>
      <c r="D97" s="118"/>
      <c r="E97" s="287"/>
      <c r="F97" s="138"/>
      <c r="G97" s="287"/>
      <c r="H97" s="138"/>
      <c r="I97" s="302">
        <v>2011</v>
      </c>
      <c r="J97" s="118">
        <v>4377.864100667665</v>
      </c>
      <c r="K97" s="138"/>
      <c r="L97" s="118">
        <v>4377.864100667665</v>
      </c>
      <c r="M97" s="118"/>
      <c r="N97" s="118"/>
      <c r="O97" s="402" t="s">
        <v>332</v>
      </c>
      <c r="P97" s="235"/>
      <c r="Q97" s="576"/>
      <c r="R97" s="576"/>
      <c r="S97" s="112">
        <f t="shared" si="1"/>
        <v>-4070.050059156239</v>
      </c>
    </row>
    <row r="98" spans="1:19" s="1" customFormat="1" ht="34.5" customHeight="1" thickBot="1">
      <c r="A98" s="296"/>
      <c r="B98" s="236"/>
      <c r="C98" s="118"/>
      <c r="D98" s="118"/>
      <c r="E98" s="287"/>
      <c r="F98" s="138"/>
      <c r="G98" s="287"/>
      <c r="H98" s="138"/>
      <c r="I98" s="302">
        <v>2011</v>
      </c>
      <c r="J98" s="118">
        <v>8591.287716039971</v>
      </c>
      <c r="K98" s="138"/>
      <c r="L98" s="118">
        <v>8591.287716039971</v>
      </c>
      <c r="M98" s="118"/>
      <c r="N98" s="118"/>
      <c r="O98" s="402" t="s">
        <v>333</v>
      </c>
      <c r="P98" s="235"/>
      <c r="Q98" s="576"/>
      <c r="R98" s="576"/>
      <c r="S98" s="112">
        <f t="shared" si="1"/>
        <v>-4377.864100667665</v>
      </c>
    </row>
    <row r="99" spans="1:19" s="1" customFormat="1" ht="34.5" customHeight="1" thickBot="1">
      <c r="A99" s="296"/>
      <c r="B99" s="236"/>
      <c r="C99" s="118"/>
      <c r="D99" s="118"/>
      <c r="E99" s="287"/>
      <c r="F99" s="138"/>
      <c r="G99" s="287"/>
      <c r="H99" s="138"/>
      <c r="I99" s="302">
        <v>2011</v>
      </c>
      <c r="J99" s="118">
        <v>11072</v>
      </c>
      <c r="K99" s="138"/>
      <c r="L99" s="118">
        <v>11072</v>
      </c>
      <c r="M99" s="118"/>
      <c r="N99" s="118"/>
      <c r="O99" s="402" t="s">
        <v>334</v>
      </c>
      <c r="P99" s="235"/>
      <c r="Q99" s="576"/>
      <c r="R99" s="576"/>
      <c r="S99" s="112">
        <f t="shared" si="1"/>
        <v>-8591.287716039971</v>
      </c>
    </row>
    <row r="100" spans="1:19" s="1" customFormat="1" ht="21.75" customHeight="1" thickBot="1">
      <c r="A100" s="296"/>
      <c r="B100" s="123"/>
      <c r="C100" s="118"/>
      <c r="D100" s="118"/>
      <c r="E100" s="287"/>
      <c r="F100" s="138"/>
      <c r="G100" s="287"/>
      <c r="H100" s="138"/>
      <c r="I100" s="302">
        <v>2011</v>
      </c>
      <c r="J100" s="118">
        <v>414.4385659951973</v>
      </c>
      <c r="K100" s="138"/>
      <c r="L100" s="118">
        <v>414.4385659951973</v>
      </c>
      <c r="M100" s="118"/>
      <c r="N100" s="118"/>
      <c r="O100" s="402" t="s">
        <v>335</v>
      </c>
      <c r="P100" s="235"/>
      <c r="Q100" s="576"/>
      <c r="R100" s="576"/>
      <c r="S100" s="112">
        <f t="shared" si="1"/>
        <v>-11072</v>
      </c>
    </row>
    <row r="101" spans="1:19" s="1" customFormat="1" ht="21.75" customHeight="1" thickBot="1">
      <c r="A101" s="296"/>
      <c r="B101" s="236"/>
      <c r="C101" s="118"/>
      <c r="D101" s="118"/>
      <c r="E101" s="287"/>
      <c r="F101" s="138"/>
      <c r="G101" s="287"/>
      <c r="H101" s="138"/>
      <c r="I101" s="302">
        <v>2011</v>
      </c>
      <c r="J101" s="118">
        <v>11021.946298234729</v>
      </c>
      <c r="K101" s="138"/>
      <c r="L101" s="118">
        <v>11021.946298234729</v>
      </c>
      <c r="M101" s="118"/>
      <c r="N101" s="118"/>
      <c r="O101" s="402" t="s">
        <v>336</v>
      </c>
      <c r="P101" s="235"/>
      <c r="Q101" s="576"/>
      <c r="R101" s="576"/>
      <c r="S101" s="112">
        <f t="shared" si="1"/>
        <v>-414.4385659951973</v>
      </c>
    </row>
    <row r="102" spans="1:19" s="1" customFormat="1" ht="34.5" customHeight="1" thickBot="1">
      <c r="A102" s="296"/>
      <c r="B102" s="236"/>
      <c r="C102" s="118"/>
      <c r="D102" s="118"/>
      <c r="E102" s="287"/>
      <c r="F102" s="138"/>
      <c r="G102" s="287"/>
      <c r="H102" s="138"/>
      <c r="I102" s="302">
        <v>2011</v>
      </c>
      <c r="J102" s="118">
        <v>4442.710380857201</v>
      </c>
      <c r="K102" s="138"/>
      <c r="L102" s="118">
        <v>4442.710380857201</v>
      </c>
      <c r="M102" s="118"/>
      <c r="N102" s="118"/>
      <c r="O102" s="402" t="s">
        <v>337</v>
      </c>
      <c r="P102" s="235"/>
      <c r="Q102" s="576"/>
      <c r="R102" s="576"/>
      <c r="S102" s="112">
        <f t="shared" si="1"/>
        <v>-11021.946298234729</v>
      </c>
    </row>
    <row r="103" spans="1:19" s="1" customFormat="1" ht="34.5" customHeight="1" thickBot="1">
      <c r="A103" s="296"/>
      <c r="B103" s="236"/>
      <c r="C103" s="118"/>
      <c r="D103" s="118"/>
      <c r="E103" s="287"/>
      <c r="F103" s="138"/>
      <c r="G103" s="287"/>
      <c r="H103" s="138"/>
      <c r="I103" s="302">
        <v>2011</v>
      </c>
      <c r="J103" s="118">
        <v>3122.0012409474775</v>
      </c>
      <c r="K103" s="138"/>
      <c r="L103" s="118">
        <v>3122.0012409474775</v>
      </c>
      <c r="M103" s="118"/>
      <c r="N103" s="118"/>
      <c r="O103" s="402" t="s">
        <v>338</v>
      </c>
      <c r="P103" s="235"/>
      <c r="Q103" s="576"/>
      <c r="R103" s="576"/>
      <c r="S103" s="112">
        <f t="shared" si="1"/>
        <v>-4442.710380857201</v>
      </c>
    </row>
    <row r="104" spans="1:19" s="1" customFormat="1" ht="34.5" customHeight="1" thickBot="1">
      <c r="A104" s="296"/>
      <c r="B104" s="236"/>
      <c r="C104" s="127"/>
      <c r="D104" s="127"/>
      <c r="E104" s="298"/>
      <c r="F104" s="299"/>
      <c r="G104" s="298"/>
      <c r="H104" s="299"/>
      <c r="I104" s="298">
        <v>2011</v>
      </c>
      <c r="J104" s="127">
        <v>3617.2434862098526</v>
      </c>
      <c r="K104" s="299"/>
      <c r="L104" s="261">
        <v>3617.2434862098526</v>
      </c>
      <c r="M104" s="118"/>
      <c r="N104" s="118"/>
      <c r="O104" s="402" t="s">
        <v>339</v>
      </c>
      <c r="P104" s="248"/>
      <c r="Q104" s="576"/>
      <c r="R104" s="576"/>
      <c r="S104" s="112">
        <f t="shared" si="1"/>
        <v>-3122.0012409474775</v>
      </c>
    </row>
    <row r="105" spans="1:19" s="1" customFormat="1" ht="21.75" customHeight="1" thickBot="1">
      <c r="A105" s="296"/>
      <c r="B105" s="311"/>
      <c r="C105" s="133">
        <v>40000</v>
      </c>
      <c r="D105" s="133"/>
      <c r="E105" s="111"/>
      <c r="F105" s="132"/>
      <c r="G105" s="111" t="s">
        <v>106</v>
      </c>
      <c r="H105" s="132">
        <v>40000</v>
      </c>
      <c r="I105" s="111"/>
      <c r="J105" s="133"/>
      <c r="K105" s="132">
        <v>40000</v>
      </c>
      <c r="L105" s="133">
        <v>39682.38157099433</v>
      </c>
      <c r="M105" s="133"/>
      <c r="N105" s="133"/>
      <c r="O105" s="413" t="s">
        <v>340</v>
      </c>
      <c r="P105" s="234"/>
      <c r="Q105" s="576"/>
      <c r="R105" s="576"/>
      <c r="S105" s="112">
        <f t="shared" si="1"/>
        <v>-3617.2434862098526</v>
      </c>
    </row>
    <row r="106" spans="1:19" s="1" customFormat="1" ht="21.75" customHeight="1" thickBot="1">
      <c r="A106" s="296"/>
      <c r="B106" s="236"/>
      <c r="C106" s="118"/>
      <c r="D106" s="118"/>
      <c r="E106" s="287"/>
      <c r="F106" s="138"/>
      <c r="G106" s="287"/>
      <c r="H106" s="138"/>
      <c r="I106" s="287"/>
      <c r="J106" s="118"/>
      <c r="K106" s="138"/>
      <c r="L106" s="118">
        <v>15257.257378740971</v>
      </c>
      <c r="M106" s="118"/>
      <c r="N106" s="118"/>
      <c r="O106" s="416" t="s">
        <v>341</v>
      </c>
      <c r="P106" s="235"/>
      <c r="Q106" s="576"/>
      <c r="R106" s="576"/>
      <c r="S106" s="112">
        <f t="shared" si="1"/>
        <v>317.6184290056699</v>
      </c>
    </row>
    <row r="107" spans="1:19" s="1" customFormat="1" ht="27.75" customHeight="1" thickBot="1">
      <c r="A107" s="296"/>
      <c r="B107" s="236"/>
      <c r="C107" s="127"/>
      <c r="D107" s="127"/>
      <c r="E107" s="298"/>
      <c r="F107" s="299"/>
      <c r="G107" s="298"/>
      <c r="H107" s="299"/>
      <c r="I107" s="298"/>
      <c r="J107" s="127"/>
      <c r="K107" s="299"/>
      <c r="L107" s="127">
        <v>25201.857585139318</v>
      </c>
      <c r="M107" s="127"/>
      <c r="N107" s="127"/>
      <c r="O107" s="426" t="s">
        <v>342</v>
      </c>
      <c r="P107" s="248"/>
      <c r="Q107" s="578"/>
      <c r="R107" s="578"/>
      <c r="S107" s="112">
        <f t="shared" si="1"/>
        <v>-15257.257378740971</v>
      </c>
    </row>
    <row r="108" spans="1:19" s="1" customFormat="1" ht="21.75" customHeight="1" thickBot="1">
      <c r="A108" s="296"/>
      <c r="B108" s="311"/>
      <c r="C108" s="112">
        <v>20000</v>
      </c>
      <c r="D108" s="112"/>
      <c r="E108" s="285"/>
      <c r="F108" s="286"/>
      <c r="G108" s="285" t="s">
        <v>111</v>
      </c>
      <c r="H108" s="286">
        <v>20000</v>
      </c>
      <c r="I108" s="285"/>
      <c r="J108" s="112"/>
      <c r="K108" s="286">
        <v>20000</v>
      </c>
      <c r="L108" s="112">
        <v>0</v>
      </c>
      <c r="M108" s="112">
        <v>29624</v>
      </c>
      <c r="N108" s="112"/>
      <c r="O108" s="424"/>
      <c r="P108" s="231"/>
      <c r="Q108" s="248"/>
      <c r="R108" s="312"/>
      <c r="S108" s="112">
        <f t="shared" si="1"/>
        <v>-25201.857585139318</v>
      </c>
    </row>
    <row r="109" spans="1:19" s="1" customFormat="1" ht="38.25" customHeight="1" thickBot="1">
      <c r="A109" s="296"/>
      <c r="B109" s="311"/>
      <c r="C109" s="133">
        <v>20000</v>
      </c>
      <c r="D109" s="133"/>
      <c r="E109" s="111"/>
      <c r="F109" s="132"/>
      <c r="G109" s="111" t="s">
        <v>112</v>
      </c>
      <c r="H109" s="132">
        <v>20000</v>
      </c>
      <c r="I109" s="111"/>
      <c r="J109" s="133"/>
      <c r="K109" s="132">
        <v>20000</v>
      </c>
      <c r="L109" s="132">
        <v>0</v>
      </c>
      <c r="M109" s="133"/>
      <c r="N109" s="132">
        <v>21999</v>
      </c>
      <c r="O109" s="427" t="s">
        <v>343</v>
      </c>
      <c r="P109" s="231"/>
      <c r="Q109" s="248"/>
      <c r="R109" s="312"/>
      <c r="S109" s="112">
        <f>+K108-L108-M108</f>
        <v>-9624</v>
      </c>
    </row>
    <row r="110" spans="1:19" s="1" customFormat="1" ht="33.75" customHeight="1" thickBot="1">
      <c r="A110" s="296"/>
      <c r="B110" s="311"/>
      <c r="C110" s="118"/>
      <c r="D110" s="118"/>
      <c r="E110" s="287"/>
      <c r="F110" s="138"/>
      <c r="G110" s="287"/>
      <c r="H110" s="138"/>
      <c r="I110" s="287"/>
      <c r="J110" s="118"/>
      <c r="K110" s="138"/>
      <c r="L110" s="138">
        <v>0</v>
      </c>
      <c r="M110" s="118">
        <v>20000</v>
      </c>
      <c r="N110" s="138">
        <v>8120</v>
      </c>
      <c r="O110" s="427" t="s">
        <v>344</v>
      </c>
      <c r="P110" s="248"/>
      <c r="Q110" s="248"/>
      <c r="R110" s="312"/>
      <c r="S110" s="112">
        <f t="shared" si="1"/>
        <v>20000</v>
      </c>
    </row>
    <row r="111" spans="1:19" s="1" customFormat="1" ht="21.75" customHeight="1" thickBot="1">
      <c r="A111" s="305"/>
      <c r="B111" s="313"/>
      <c r="C111" s="118"/>
      <c r="D111" s="118"/>
      <c r="E111" s="287"/>
      <c r="F111" s="138"/>
      <c r="G111" s="287"/>
      <c r="H111" s="138"/>
      <c r="I111" s="287"/>
      <c r="J111" s="118"/>
      <c r="K111" s="138"/>
      <c r="L111" s="138">
        <v>0</v>
      </c>
      <c r="M111" s="118"/>
      <c r="N111" s="138"/>
      <c r="O111" s="423" t="s">
        <v>345</v>
      </c>
      <c r="P111" s="235"/>
      <c r="Q111" s="235"/>
      <c r="R111" s="247"/>
      <c r="S111" s="112">
        <f>+K110-L110-M110</f>
        <v>-20000</v>
      </c>
    </row>
    <row r="112" spans="1:19" s="1" customFormat="1" ht="21.75" customHeight="1" thickBot="1">
      <c r="A112" s="305"/>
      <c r="B112" s="313"/>
      <c r="C112" s="314">
        <v>20000</v>
      </c>
      <c r="D112" s="314"/>
      <c r="E112" s="315"/>
      <c r="F112" s="314"/>
      <c r="G112" s="315" t="s">
        <v>116</v>
      </c>
      <c r="H112" s="314">
        <v>20000</v>
      </c>
      <c r="I112" s="315"/>
      <c r="J112" s="314"/>
      <c r="K112" s="314">
        <v>20000</v>
      </c>
      <c r="L112" s="314">
        <v>0</v>
      </c>
      <c r="M112" s="314">
        <v>20000</v>
      </c>
      <c r="N112" s="314">
        <v>2947.51</v>
      </c>
      <c r="O112" s="428" t="s">
        <v>346</v>
      </c>
      <c r="P112" s="245"/>
      <c r="Q112" s="245"/>
      <c r="R112" s="245"/>
      <c r="S112" s="112">
        <f>+K112-L112-M112</f>
        <v>0</v>
      </c>
    </row>
    <row r="113" spans="1:19" s="1" customFormat="1" ht="32.25" thickBot="1">
      <c r="A113" s="305"/>
      <c r="B113" s="313"/>
      <c r="C113" s="314">
        <v>20000</v>
      </c>
      <c r="D113" s="314"/>
      <c r="E113" s="315"/>
      <c r="F113" s="314"/>
      <c r="G113" s="315" t="s">
        <v>118</v>
      </c>
      <c r="H113" s="314">
        <v>20000</v>
      </c>
      <c r="I113" s="315"/>
      <c r="J113" s="314"/>
      <c r="K113" s="314">
        <v>20000</v>
      </c>
      <c r="L113" s="314">
        <v>0</v>
      </c>
      <c r="M113" s="314">
        <v>20000</v>
      </c>
      <c r="N113" s="118">
        <v>3861</v>
      </c>
      <c r="O113" s="428" t="s">
        <v>426</v>
      </c>
      <c r="P113" s="245"/>
      <c r="Q113" s="245"/>
      <c r="R113" s="245"/>
      <c r="S113" s="112">
        <f aca="true" t="shared" si="2" ref="S113:S132">+K113-L113-M113</f>
        <v>0</v>
      </c>
    </row>
    <row r="114" spans="1:19" s="1" customFormat="1" ht="32.25" thickBot="1">
      <c r="A114" s="305"/>
      <c r="B114" s="313"/>
      <c r="C114" s="118"/>
      <c r="D114" s="118"/>
      <c r="E114" s="287"/>
      <c r="F114" s="118"/>
      <c r="G114" s="287"/>
      <c r="H114" s="118"/>
      <c r="I114" s="287"/>
      <c r="J114" s="118"/>
      <c r="K114" s="118"/>
      <c r="L114" s="118"/>
      <c r="M114" s="118"/>
      <c r="N114" s="118">
        <v>368</v>
      </c>
      <c r="O114" s="428" t="s">
        <v>429</v>
      </c>
      <c r="P114" s="235"/>
      <c r="Q114" s="235"/>
      <c r="R114" s="235"/>
      <c r="S114" s="112">
        <f t="shared" si="2"/>
        <v>0</v>
      </c>
    </row>
    <row r="115" spans="1:19" s="1" customFormat="1" ht="21.75" customHeight="1" thickBot="1">
      <c r="A115" s="305"/>
      <c r="B115" s="313"/>
      <c r="C115" s="118"/>
      <c r="D115" s="118"/>
      <c r="E115" s="287"/>
      <c r="F115" s="118"/>
      <c r="G115" s="287"/>
      <c r="H115" s="118"/>
      <c r="I115" s="287"/>
      <c r="J115" s="118"/>
      <c r="K115" s="118"/>
      <c r="L115" s="118"/>
      <c r="M115" s="118"/>
      <c r="N115" s="118">
        <v>2682</v>
      </c>
      <c r="O115" s="428" t="s">
        <v>427</v>
      </c>
      <c r="P115" s="235"/>
      <c r="Q115" s="235"/>
      <c r="R115" s="235"/>
      <c r="S115" s="112">
        <f t="shared" si="2"/>
        <v>0</v>
      </c>
    </row>
    <row r="116" spans="1:19" s="1" customFormat="1" ht="21.75" customHeight="1" thickBot="1">
      <c r="A116" s="305"/>
      <c r="B116" s="313"/>
      <c r="C116" s="118"/>
      <c r="D116" s="118"/>
      <c r="E116" s="287"/>
      <c r="F116" s="118"/>
      <c r="G116" s="287"/>
      <c r="H116" s="118"/>
      <c r="I116" s="287"/>
      <c r="J116" s="118"/>
      <c r="K116" s="118"/>
      <c r="L116" s="118"/>
      <c r="M116" s="118"/>
      <c r="N116" s="118">
        <v>461</v>
      </c>
      <c r="O116" s="428" t="s">
        <v>428</v>
      </c>
      <c r="P116" s="235"/>
      <c r="Q116" s="235"/>
      <c r="R116" s="235"/>
      <c r="S116" s="112">
        <f t="shared" si="2"/>
        <v>0</v>
      </c>
    </row>
    <row r="117" spans="1:19" s="1" customFormat="1" ht="32.25" thickBot="1">
      <c r="A117" s="305"/>
      <c r="B117" s="313"/>
      <c r="C117" s="118"/>
      <c r="D117" s="118"/>
      <c r="E117" s="287"/>
      <c r="F117" s="118"/>
      <c r="G117" s="287"/>
      <c r="H117" s="118"/>
      <c r="I117" s="287"/>
      <c r="J117" s="118"/>
      <c r="K117" s="118"/>
      <c r="L117" s="118"/>
      <c r="M117" s="118"/>
      <c r="N117" s="118">
        <v>4456</v>
      </c>
      <c r="O117" s="428" t="s">
        <v>430</v>
      </c>
      <c r="P117" s="235"/>
      <c r="Q117" s="235"/>
      <c r="R117" s="235"/>
      <c r="S117" s="112">
        <f t="shared" si="2"/>
        <v>0</v>
      </c>
    </row>
    <row r="118" spans="1:19" s="1" customFormat="1" ht="21.75" customHeight="1" thickBot="1">
      <c r="A118" s="305"/>
      <c r="B118" s="313"/>
      <c r="C118" s="314">
        <v>20000</v>
      </c>
      <c r="D118" s="314"/>
      <c r="E118" s="315"/>
      <c r="F118" s="314"/>
      <c r="G118" s="315" t="s">
        <v>431</v>
      </c>
      <c r="H118" s="314">
        <v>20000</v>
      </c>
      <c r="I118" s="315"/>
      <c r="J118" s="314"/>
      <c r="K118" s="314">
        <v>20000</v>
      </c>
      <c r="L118" s="314">
        <v>0</v>
      </c>
      <c r="M118" s="314">
        <v>19517.35</v>
      </c>
      <c r="N118" s="314">
        <v>2503.41</v>
      </c>
      <c r="O118" s="428" t="s">
        <v>448</v>
      </c>
      <c r="P118" s="235"/>
      <c r="Q118" s="235"/>
      <c r="R118" s="235"/>
      <c r="S118" s="112">
        <f t="shared" si="2"/>
        <v>482.65000000000146</v>
      </c>
    </row>
    <row r="119" spans="1:19" s="1" customFormat="1" ht="21.75" customHeight="1" thickBot="1">
      <c r="A119" s="305"/>
      <c r="B119" s="313"/>
      <c r="C119" s="118"/>
      <c r="D119" s="118"/>
      <c r="E119" s="287"/>
      <c r="F119" s="118"/>
      <c r="G119" s="287"/>
      <c r="H119" s="118"/>
      <c r="I119" s="287"/>
      <c r="J119" s="118"/>
      <c r="K119" s="118"/>
      <c r="L119" s="118"/>
      <c r="M119" s="118"/>
      <c r="N119" s="118">
        <v>2403.39</v>
      </c>
      <c r="O119" s="428" t="s">
        <v>449</v>
      </c>
      <c r="P119" s="235"/>
      <c r="Q119" s="235"/>
      <c r="R119" s="235"/>
      <c r="S119" s="112">
        <f t="shared" si="2"/>
        <v>0</v>
      </c>
    </row>
    <row r="120" spans="1:19" s="1" customFormat="1" ht="21.75" customHeight="1" thickBot="1">
      <c r="A120" s="305"/>
      <c r="B120" s="313"/>
      <c r="C120" s="118"/>
      <c r="D120" s="118"/>
      <c r="E120" s="287"/>
      <c r="F120" s="118"/>
      <c r="G120" s="287"/>
      <c r="H120" s="118"/>
      <c r="I120" s="287"/>
      <c r="J120" s="118"/>
      <c r="K120" s="118"/>
      <c r="L120" s="118"/>
      <c r="M120" s="118"/>
      <c r="N120" s="118">
        <v>8774.42</v>
      </c>
      <c r="O120" s="428" t="s">
        <v>450</v>
      </c>
      <c r="P120" s="235"/>
      <c r="Q120" s="235"/>
      <c r="R120" s="235"/>
      <c r="S120" s="112">
        <f t="shared" si="2"/>
        <v>0</v>
      </c>
    </row>
    <row r="121" spans="1:19" s="1" customFormat="1" ht="21.75" customHeight="1" thickBot="1">
      <c r="A121" s="305"/>
      <c r="B121" s="313"/>
      <c r="C121" s="118"/>
      <c r="D121" s="118"/>
      <c r="E121" s="287"/>
      <c r="F121" s="118"/>
      <c r="G121" s="287"/>
      <c r="H121" s="118"/>
      <c r="I121" s="287"/>
      <c r="J121" s="118"/>
      <c r="K121" s="118"/>
      <c r="L121" s="118"/>
      <c r="M121" s="118"/>
      <c r="N121" s="118">
        <v>6296.13</v>
      </c>
      <c r="O121" s="428" t="s">
        <v>451</v>
      </c>
      <c r="P121" s="235"/>
      <c r="Q121" s="235"/>
      <c r="R121" s="235"/>
      <c r="S121" s="112">
        <f t="shared" si="2"/>
        <v>0</v>
      </c>
    </row>
    <row r="122" spans="1:19" s="1" customFormat="1" ht="21.75" customHeight="1" thickBot="1">
      <c r="A122" s="305"/>
      <c r="B122" s="313"/>
      <c r="C122" s="118"/>
      <c r="D122" s="118"/>
      <c r="E122" s="287"/>
      <c r="F122" s="118"/>
      <c r="G122" s="287"/>
      <c r="H122" s="118"/>
      <c r="I122" s="287"/>
      <c r="J122" s="118"/>
      <c r="K122" s="118"/>
      <c r="L122" s="118"/>
      <c r="M122" s="118"/>
      <c r="N122" s="118">
        <v>2516.38</v>
      </c>
      <c r="O122" s="428" t="s">
        <v>452</v>
      </c>
      <c r="P122" s="235"/>
      <c r="Q122" s="235"/>
      <c r="R122" s="235"/>
      <c r="S122" s="112">
        <f t="shared" si="2"/>
        <v>0</v>
      </c>
    </row>
    <row r="123" spans="1:19" s="1" customFormat="1" ht="21.75" customHeight="1" thickBot="1">
      <c r="A123" s="305"/>
      <c r="B123" s="313"/>
      <c r="C123" s="118"/>
      <c r="D123" s="118"/>
      <c r="E123" s="287"/>
      <c r="F123" s="118"/>
      <c r="G123" s="287"/>
      <c r="H123" s="118"/>
      <c r="I123" s="287"/>
      <c r="J123" s="118"/>
      <c r="K123" s="118"/>
      <c r="L123" s="118"/>
      <c r="M123" s="118"/>
      <c r="N123" s="118">
        <v>2658.61</v>
      </c>
      <c r="O123" s="428" t="s">
        <v>453</v>
      </c>
      <c r="P123" s="235"/>
      <c r="Q123" s="235"/>
      <c r="R123" s="235"/>
      <c r="S123" s="112">
        <f t="shared" si="2"/>
        <v>0</v>
      </c>
    </row>
    <row r="124" spans="1:19" s="1" customFormat="1" ht="21.75" customHeight="1" thickBot="1">
      <c r="A124" s="305"/>
      <c r="B124" s="313"/>
      <c r="C124" s="118"/>
      <c r="D124" s="118"/>
      <c r="E124" s="287"/>
      <c r="F124" s="118"/>
      <c r="G124" s="287"/>
      <c r="H124" s="118"/>
      <c r="I124" s="287"/>
      <c r="J124" s="118"/>
      <c r="K124" s="118"/>
      <c r="L124" s="118"/>
      <c r="M124" s="118"/>
      <c r="N124" s="118">
        <v>2875.9</v>
      </c>
      <c r="O124" s="428" t="s">
        <v>454</v>
      </c>
      <c r="P124" s="235"/>
      <c r="Q124" s="235"/>
      <c r="R124" s="235"/>
      <c r="S124" s="112">
        <f t="shared" si="2"/>
        <v>0</v>
      </c>
    </row>
    <row r="125" spans="1:19" s="1" customFormat="1" ht="21.75" customHeight="1" thickBot="1">
      <c r="A125" s="305"/>
      <c r="B125" s="313"/>
      <c r="C125" s="118"/>
      <c r="D125" s="118"/>
      <c r="E125" s="287"/>
      <c r="F125" s="118"/>
      <c r="G125" s="287"/>
      <c r="H125" s="118"/>
      <c r="I125" s="287"/>
      <c r="J125" s="118"/>
      <c r="K125" s="118"/>
      <c r="L125" s="118"/>
      <c r="M125" s="118"/>
      <c r="N125" s="118">
        <v>877.14</v>
      </c>
      <c r="O125" s="428" t="s">
        <v>455</v>
      </c>
      <c r="P125" s="235"/>
      <c r="Q125" s="235"/>
      <c r="R125" s="235"/>
      <c r="S125" s="112">
        <f t="shared" si="2"/>
        <v>0</v>
      </c>
    </row>
    <row r="126" spans="1:19" s="1" customFormat="1" ht="21.75" customHeight="1" thickBot="1">
      <c r="A126" s="305"/>
      <c r="B126" s="313"/>
      <c r="C126" s="118"/>
      <c r="D126" s="118"/>
      <c r="E126" s="287"/>
      <c r="F126" s="118"/>
      <c r="G126" s="287"/>
      <c r="H126" s="118"/>
      <c r="I126" s="287"/>
      <c r="J126" s="118"/>
      <c r="K126" s="118"/>
      <c r="L126" s="118"/>
      <c r="M126" s="118"/>
      <c r="N126" s="118">
        <v>2289.24</v>
      </c>
      <c r="O126" s="428" t="s">
        <v>456</v>
      </c>
      <c r="P126" s="235"/>
      <c r="Q126" s="235"/>
      <c r="R126" s="235"/>
      <c r="S126" s="112">
        <f t="shared" si="2"/>
        <v>0</v>
      </c>
    </row>
    <row r="127" spans="1:19" s="1" customFormat="1" ht="21.75" customHeight="1" thickBot="1">
      <c r="A127" s="305"/>
      <c r="B127" s="313"/>
      <c r="C127" s="118"/>
      <c r="D127" s="118"/>
      <c r="E127" s="287"/>
      <c r="F127" s="118"/>
      <c r="G127" s="287"/>
      <c r="H127" s="118"/>
      <c r="I127" s="287"/>
      <c r="J127" s="118"/>
      <c r="K127" s="118"/>
      <c r="L127" s="118"/>
      <c r="M127" s="118"/>
      <c r="N127" s="118">
        <v>1433.39</v>
      </c>
      <c r="O127" s="428" t="s">
        <v>457</v>
      </c>
      <c r="P127" s="235"/>
      <c r="Q127" s="235"/>
      <c r="R127" s="235"/>
      <c r="S127" s="112">
        <f t="shared" si="2"/>
        <v>0</v>
      </c>
    </row>
    <row r="128" spans="1:19" s="1" customFormat="1" ht="21.75" customHeight="1" thickBot="1">
      <c r="A128" s="305"/>
      <c r="B128" s="313"/>
      <c r="C128" s="118"/>
      <c r="D128" s="118"/>
      <c r="E128" s="287"/>
      <c r="F128" s="118"/>
      <c r="G128" s="287"/>
      <c r="H128" s="118"/>
      <c r="I128" s="287"/>
      <c r="J128" s="118"/>
      <c r="K128" s="118"/>
      <c r="L128" s="118"/>
      <c r="M128" s="118"/>
      <c r="N128" s="118">
        <v>5129.53</v>
      </c>
      <c r="O128" s="428" t="s">
        <v>458</v>
      </c>
      <c r="P128" s="235"/>
      <c r="Q128" s="235"/>
      <c r="R128" s="235"/>
      <c r="S128" s="112">
        <f t="shared" si="2"/>
        <v>0</v>
      </c>
    </row>
    <row r="129" spans="1:19" s="1" customFormat="1" ht="21.75" customHeight="1" thickBot="1">
      <c r="A129" s="305"/>
      <c r="B129" s="313"/>
      <c r="C129" s="118"/>
      <c r="D129" s="118"/>
      <c r="E129" s="287"/>
      <c r="F129" s="118"/>
      <c r="G129" s="287"/>
      <c r="H129" s="118"/>
      <c r="I129" s="287"/>
      <c r="J129" s="118"/>
      <c r="K129" s="118"/>
      <c r="L129" s="118"/>
      <c r="M129" s="118"/>
      <c r="N129" s="118">
        <v>8891.15</v>
      </c>
      <c r="O129" s="428" t="s">
        <v>459</v>
      </c>
      <c r="P129" s="235"/>
      <c r="Q129" s="235"/>
      <c r="R129" s="235"/>
      <c r="S129" s="112">
        <f t="shared" si="2"/>
        <v>0</v>
      </c>
    </row>
    <row r="130" spans="1:19" s="1" customFormat="1" ht="21.75" customHeight="1" thickBot="1">
      <c r="A130" s="305"/>
      <c r="B130" s="313"/>
      <c r="C130" s="118"/>
      <c r="D130" s="118"/>
      <c r="E130" s="287"/>
      <c r="F130" s="118"/>
      <c r="G130" s="287"/>
      <c r="H130" s="118"/>
      <c r="I130" s="287"/>
      <c r="J130" s="118"/>
      <c r="K130" s="118"/>
      <c r="L130" s="118"/>
      <c r="M130" s="118"/>
      <c r="N130" s="118">
        <v>4269.95</v>
      </c>
      <c r="O130" s="428" t="s">
        <v>460</v>
      </c>
      <c r="P130" s="235"/>
      <c r="Q130" s="235"/>
      <c r="R130" s="235"/>
      <c r="S130" s="112">
        <f t="shared" si="2"/>
        <v>0</v>
      </c>
    </row>
    <row r="131" spans="1:19" s="1" customFormat="1" ht="21.75" customHeight="1" thickBot="1">
      <c r="A131" s="305"/>
      <c r="B131" s="313"/>
      <c r="C131" s="118"/>
      <c r="D131" s="118"/>
      <c r="E131" s="287"/>
      <c r="F131" s="118"/>
      <c r="G131" s="287"/>
      <c r="H131" s="118"/>
      <c r="I131" s="287"/>
      <c r="J131" s="118"/>
      <c r="K131" s="118"/>
      <c r="L131" s="118"/>
      <c r="M131" s="118"/>
      <c r="N131" s="118"/>
      <c r="O131" s="428"/>
      <c r="P131" s="235"/>
      <c r="Q131" s="235"/>
      <c r="R131" s="235"/>
      <c r="S131" s="112">
        <f t="shared" si="2"/>
        <v>0</v>
      </c>
    </row>
    <row r="132" spans="1:19" s="1" customFormat="1" ht="21.75" customHeight="1" thickBot="1">
      <c r="A132" s="305"/>
      <c r="B132" s="313"/>
      <c r="C132" s="314">
        <v>20000</v>
      </c>
      <c r="D132" s="314"/>
      <c r="E132" s="315"/>
      <c r="F132" s="314"/>
      <c r="G132" s="315" t="s">
        <v>440</v>
      </c>
      <c r="H132" s="314">
        <v>20000</v>
      </c>
      <c r="I132" s="315"/>
      <c r="J132" s="314"/>
      <c r="K132" s="314">
        <v>20000</v>
      </c>
      <c r="L132" s="314">
        <v>0</v>
      </c>
      <c r="M132" s="314">
        <v>20000</v>
      </c>
      <c r="N132" s="314"/>
      <c r="O132" s="428"/>
      <c r="P132" s="235"/>
      <c r="Q132" s="235"/>
      <c r="R132" s="235"/>
      <c r="S132" s="112">
        <f t="shared" si="2"/>
        <v>0</v>
      </c>
    </row>
    <row r="133" spans="1:19" s="1" customFormat="1" ht="21.75" customHeight="1" thickBot="1">
      <c r="A133" s="305"/>
      <c r="B133" s="313"/>
      <c r="C133" s="494">
        <v>20000</v>
      </c>
      <c r="D133" s="494"/>
      <c r="E133" s="496"/>
      <c r="F133" s="494"/>
      <c r="G133" s="496" t="s">
        <v>467</v>
      </c>
      <c r="H133" s="494">
        <v>20000</v>
      </c>
      <c r="I133" s="496"/>
      <c r="J133" s="494"/>
      <c r="K133" s="494">
        <v>20000</v>
      </c>
      <c r="L133" s="314">
        <v>0</v>
      </c>
      <c r="M133" s="494">
        <v>20000</v>
      </c>
      <c r="N133" s="494"/>
      <c r="O133" s="428"/>
      <c r="P133" s="235"/>
      <c r="Q133" s="235"/>
      <c r="R133" s="235"/>
      <c r="S133" s="112">
        <f>+K133-L133-M133</f>
        <v>0</v>
      </c>
    </row>
    <row r="134" spans="1:21" s="1" customFormat="1" ht="19.5" customHeight="1" thickBot="1">
      <c r="A134" s="144"/>
      <c r="B134" s="316" t="s">
        <v>5</v>
      </c>
      <c r="C134" s="497"/>
      <c r="D134" s="498"/>
      <c r="E134" s="499">
        <f>SUM(E9:E110)</f>
        <v>121.95</v>
      </c>
      <c r="F134" s="497"/>
      <c r="G134" s="500"/>
      <c r="H134" s="497">
        <f>SUM(H9:H133)</f>
        <v>960201</v>
      </c>
      <c r="I134" s="497">
        <f>SUM(I9:I118)</f>
        <v>184645</v>
      </c>
      <c r="J134" s="497">
        <f>SUM(J9:J118)</f>
        <v>730435.0907792121</v>
      </c>
      <c r="K134" s="497">
        <f>SUM(K9:K133)</f>
        <v>960201</v>
      </c>
      <c r="L134" s="497">
        <f>SUM(L9:L133)</f>
        <v>810576.5873140867</v>
      </c>
      <c r="M134" s="497">
        <f>SUM(M9:M133)</f>
        <v>149141.35</v>
      </c>
      <c r="N134" s="497">
        <f>SUM(N9:N133)</f>
        <v>95813.14999999998</v>
      </c>
      <c r="O134" s="148"/>
      <c r="P134" s="148">
        <f>SUM(P9:P118)</f>
        <v>0</v>
      </c>
      <c r="Q134" s="148">
        <f>SUM(Q9:Q118)</f>
        <v>0</v>
      </c>
      <c r="R134" s="148">
        <f>SUM(R9:R118)</f>
        <v>0</v>
      </c>
      <c r="S134" s="148">
        <f>SUM(S9:S133)</f>
        <v>483.0626859135882</v>
      </c>
      <c r="T134" s="317"/>
      <c r="U134" s="317"/>
    </row>
    <row r="135" spans="2:19" s="1" customFormat="1" ht="15" customHeight="1">
      <c r="B135" s="318"/>
      <c r="E135" s="318"/>
      <c r="F135" s="318"/>
      <c r="G135" s="318"/>
      <c r="H135" s="318"/>
      <c r="I135" s="318"/>
      <c r="J135" s="273"/>
      <c r="K135" s="273"/>
      <c r="L135" s="273"/>
      <c r="M135" s="273"/>
      <c r="N135" s="273"/>
      <c r="O135" s="274"/>
      <c r="P135" s="274"/>
      <c r="Q135" s="274"/>
      <c r="R135" s="274"/>
      <c r="S135" s="319"/>
    </row>
    <row r="136" spans="5:12" s="157" customFormat="1" ht="13.5" thickBot="1">
      <c r="E136" s="159"/>
      <c r="F136" s="159"/>
      <c r="G136" s="159"/>
      <c r="H136" s="159"/>
      <c r="L136" s="159"/>
    </row>
    <row r="137" spans="1:19" s="154" customFormat="1" ht="80.25" customHeight="1">
      <c r="A137" s="153"/>
      <c r="B137" s="153"/>
      <c r="C137" s="153"/>
      <c r="D137" s="555" t="s">
        <v>60</v>
      </c>
      <c r="E137" s="557" t="s">
        <v>61</v>
      </c>
      <c r="F137" s="557"/>
      <c r="G137" s="443" t="s">
        <v>119</v>
      </c>
      <c r="H137" s="444" t="s">
        <v>62</v>
      </c>
      <c r="I137" s="442" t="s">
        <v>63</v>
      </c>
      <c r="J137" s="445" t="s">
        <v>441</v>
      </c>
      <c r="K137" s="451" t="s">
        <v>447</v>
      </c>
      <c r="L137" s="451" t="s">
        <v>424</v>
      </c>
      <c r="M137" s="446" t="s">
        <v>64</v>
      </c>
      <c r="N137" s="153"/>
      <c r="O137" s="453"/>
      <c r="P137" s="153"/>
      <c r="Q137" s="153"/>
      <c r="R137" s="153"/>
      <c r="S137" s="153"/>
    </row>
    <row r="138" spans="4:13" ht="15">
      <c r="D138" s="556"/>
      <c r="E138" s="558"/>
      <c r="F138" s="558"/>
      <c r="G138" s="448" t="s">
        <v>442</v>
      </c>
      <c r="H138" s="449" t="s">
        <v>443</v>
      </c>
      <c r="I138" s="447" t="s">
        <v>444</v>
      </c>
      <c r="J138" s="447" t="s">
        <v>445</v>
      </c>
      <c r="K138" s="450" t="s">
        <v>444</v>
      </c>
      <c r="L138" s="452" t="s">
        <v>445</v>
      </c>
      <c r="M138" s="450" t="s">
        <v>446</v>
      </c>
    </row>
    <row r="139" spans="4:13" ht="15.75">
      <c r="D139" s="454" t="s">
        <v>45</v>
      </c>
      <c r="E139" s="455">
        <v>121.95</v>
      </c>
      <c r="F139" s="456">
        <v>1</v>
      </c>
      <c r="G139" s="457">
        <v>940201</v>
      </c>
      <c r="H139" s="458">
        <f>+L134</f>
        <v>810576.5873140867</v>
      </c>
      <c r="I139" s="457"/>
      <c r="J139" s="457"/>
      <c r="K139" s="457">
        <v>129141</v>
      </c>
      <c r="L139" s="457">
        <v>95813</v>
      </c>
      <c r="M139" s="459">
        <f>G139-H139-K139</f>
        <v>483.4126859132666</v>
      </c>
    </row>
    <row r="142" ht="15">
      <c r="S142" s="320"/>
    </row>
  </sheetData>
  <sheetProtection/>
  <mergeCells count="19">
    <mergeCell ref="D137:D138"/>
    <mergeCell ref="E137:F138"/>
    <mergeCell ref="A1:S1"/>
    <mergeCell ref="A2:S2"/>
    <mergeCell ref="D4:D7"/>
    <mergeCell ref="E4:F6"/>
    <mergeCell ref="K4:K7"/>
    <mergeCell ref="G5:H5"/>
    <mergeCell ref="M4:M7"/>
    <mergeCell ref="N4:N7"/>
    <mergeCell ref="Q94:Q107"/>
    <mergeCell ref="R94:R107"/>
    <mergeCell ref="B9:B14"/>
    <mergeCell ref="Q9:Q40"/>
    <mergeCell ref="R9:R40"/>
    <mergeCell ref="Q41:Q68"/>
    <mergeCell ref="R41:R68"/>
    <mergeCell ref="Q69:Q93"/>
    <mergeCell ref="R69:R93"/>
  </mergeCells>
  <printOptions horizontalCentered="1"/>
  <pageMargins left="1" right="0" top="0.72" bottom="0.5" header="0.64" footer="0.5"/>
  <pageSetup fitToHeight="0" fitToWidth="1" horizontalDpi="600" verticalDpi="600" orientation="landscape" paperSize="9" scale="40" r:id="rId1"/>
  <headerFooter alignWithMargins="0">
    <oddFooter>&amp;L&amp;8&amp;Z&amp;F&amp;D</oddFooter>
  </headerFooter>
  <rowBreaks count="3" manualBreakCount="3">
    <brk id="40" max="20" man="1"/>
    <brk id="68" max="20" man="1"/>
    <brk id="9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S78"/>
  <sheetViews>
    <sheetView view="pageBreakPreview" zoomScale="60" zoomScaleNormal="70" zoomScalePageLayoutView="0" workbookViewId="0" topLeftCell="A58">
      <selection activeCell="K68" sqref="K68"/>
    </sheetView>
  </sheetViews>
  <sheetFormatPr defaultColWidth="9.140625" defaultRowHeight="12.75"/>
  <cols>
    <col min="1" max="1" width="28.7109375" style="346" bestFit="1" customWidth="1"/>
    <col min="2" max="2" width="23.28125" style="346" bestFit="1" customWidth="1"/>
    <col min="3" max="3" width="14.140625" style="346" bestFit="1" customWidth="1"/>
    <col min="4" max="4" width="19.00390625" style="346" customWidth="1"/>
    <col min="5" max="5" width="13.57421875" style="346" customWidth="1"/>
    <col min="6" max="6" width="14.140625" style="346" customWidth="1"/>
    <col min="7" max="7" width="11.8515625" style="346" bestFit="1" customWidth="1"/>
    <col min="8" max="8" width="14.140625" style="346" customWidth="1"/>
    <col min="9" max="9" width="10.00390625" style="346" hidden="1" customWidth="1"/>
    <col min="10" max="10" width="17.28125" style="346" hidden="1" customWidth="1"/>
    <col min="11" max="11" width="16.28125" style="346" customWidth="1"/>
    <col min="12" max="14" width="14.140625" style="346" customWidth="1"/>
    <col min="15" max="15" width="77.140625" style="346" bestFit="1" customWidth="1"/>
    <col min="16" max="16" width="16.8515625" style="346" hidden="1" customWidth="1"/>
    <col min="17" max="17" width="19.28125" style="346" hidden="1" customWidth="1"/>
    <col min="18" max="18" width="22.28125" style="346" hidden="1" customWidth="1"/>
    <col min="19" max="19" width="14.8515625" style="346" bestFit="1" customWidth="1"/>
    <col min="20" max="16384" width="9.140625" style="192" customWidth="1"/>
  </cols>
  <sheetData>
    <row r="1" spans="1:19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spans="1:19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pans="1:19" ht="16.5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321"/>
      <c r="J4" s="321"/>
      <c r="K4" s="536" t="s">
        <v>86</v>
      </c>
      <c r="L4" s="88"/>
      <c r="M4" s="552" t="s">
        <v>63</v>
      </c>
      <c r="N4" s="552" t="s">
        <v>424</v>
      </c>
      <c r="O4" s="88"/>
      <c r="P4" s="88"/>
      <c r="Q4" s="88"/>
      <c r="R4" s="88" t="s">
        <v>347</v>
      </c>
      <c r="S4" s="88"/>
    </row>
    <row r="5" spans="1:19" ht="15.75" customHeight="1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214"/>
      <c r="J5" s="214"/>
      <c r="K5" s="545"/>
      <c r="L5" s="92" t="s">
        <v>41</v>
      </c>
      <c r="M5" s="553"/>
      <c r="N5" s="553"/>
      <c r="O5" s="92"/>
      <c r="P5" s="92"/>
      <c r="Q5" s="92" t="s">
        <v>31</v>
      </c>
      <c r="R5" s="92" t="s">
        <v>348</v>
      </c>
      <c r="S5" s="92" t="s">
        <v>29</v>
      </c>
    </row>
    <row r="6" spans="1:19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93"/>
      <c r="H6" s="94"/>
      <c r="I6" s="214"/>
      <c r="J6" s="214"/>
      <c r="K6" s="545"/>
      <c r="L6" s="95" t="s">
        <v>28</v>
      </c>
      <c r="M6" s="553"/>
      <c r="N6" s="553"/>
      <c r="O6" s="92" t="s">
        <v>42</v>
      </c>
      <c r="P6" s="92" t="s">
        <v>30</v>
      </c>
      <c r="Q6" s="92" t="s">
        <v>32</v>
      </c>
      <c r="R6" s="92" t="s">
        <v>349</v>
      </c>
      <c r="S6" s="92" t="s">
        <v>16</v>
      </c>
    </row>
    <row r="7" spans="1:19" ht="32.25" thickBot="1">
      <c r="A7" s="91" t="s">
        <v>27</v>
      </c>
      <c r="B7" s="92" t="s">
        <v>23</v>
      </c>
      <c r="C7" s="92" t="s">
        <v>19</v>
      </c>
      <c r="D7" s="538"/>
      <c r="E7" s="98" t="s">
        <v>87</v>
      </c>
      <c r="F7" s="99" t="s">
        <v>44</v>
      </c>
      <c r="G7" s="281" t="s">
        <v>2</v>
      </c>
      <c r="H7" s="282" t="s">
        <v>0</v>
      </c>
      <c r="I7" s="214"/>
      <c r="J7" s="214"/>
      <c r="K7" s="546"/>
      <c r="L7" s="322" t="s">
        <v>0</v>
      </c>
      <c r="M7" s="554"/>
      <c r="N7" s="554"/>
      <c r="O7" s="92"/>
      <c r="P7" s="92" t="s">
        <v>37</v>
      </c>
      <c r="Q7" s="219" t="s">
        <v>33</v>
      </c>
      <c r="R7" s="92" t="s">
        <v>350</v>
      </c>
      <c r="S7" s="92"/>
    </row>
    <row r="8" spans="1:19" s="323" customFormat="1" ht="15" customHeight="1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6">
        <v>4</v>
      </c>
      <c r="J8" s="106">
        <v>5</v>
      </c>
      <c r="K8" s="106">
        <v>8</v>
      </c>
      <c r="L8" s="106">
        <v>9</v>
      </c>
      <c r="M8" s="106"/>
      <c r="N8" s="106"/>
      <c r="O8" s="105" t="s">
        <v>88</v>
      </c>
      <c r="P8" s="105"/>
      <c r="Q8" s="107">
        <v>12</v>
      </c>
      <c r="R8" s="283">
        <v>13</v>
      </c>
      <c r="S8" s="105">
        <v>14</v>
      </c>
    </row>
    <row r="9" spans="1:19" ht="19.5" customHeight="1" thickBot="1">
      <c r="A9" s="110" t="s">
        <v>351</v>
      </c>
      <c r="B9" s="590" t="s">
        <v>352</v>
      </c>
      <c r="C9" s="112">
        <v>0</v>
      </c>
      <c r="D9" s="112" t="s">
        <v>46</v>
      </c>
      <c r="E9" s="28">
        <v>18.85</v>
      </c>
      <c r="F9" s="114">
        <v>1</v>
      </c>
      <c r="G9" s="28">
        <v>1993</v>
      </c>
      <c r="H9" s="112">
        <v>0</v>
      </c>
      <c r="I9" s="324"/>
      <c r="J9" s="28"/>
      <c r="K9" s="112">
        <v>0</v>
      </c>
      <c r="L9" s="112">
        <v>0</v>
      </c>
      <c r="M9" s="112"/>
      <c r="N9" s="112"/>
      <c r="O9" s="115"/>
      <c r="P9" s="116"/>
      <c r="Q9" s="549" t="s">
        <v>353</v>
      </c>
      <c r="R9" s="549" t="s">
        <v>354</v>
      </c>
      <c r="S9" s="243"/>
    </row>
    <row r="10" spans="1:19" ht="19.5" customHeight="1" thickBot="1">
      <c r="A10" s="117" t="s">
        <v>355</v>
      </c>
      <c r="B10" s="581"/>
      <c r="C10" s="112">
        <v>20000</v>
      </c>
      <c r="D10" s="112"/>
      <c r="E10" s="28"/>
      <c r="F10" s="241"/>
      <c r="G10" s="28">
        <v>1994</v>
      </c>
      <c r="H10" s="241">
        <v>20000</v>
      </c>
      <c r="I10" s="324"/>
      <c r="J10" s="28"/>
      <c r="K10" s="241">
        <v>20000</v>
      </c>
      <c r="L10" s="112">
        <v>0</v>
      </c>
      <c r="M10" s="112"/>
      <c r="N10" s="112"/>
      <c r="O10" s="115"/>
      <c r="P10" s="116"/>
      <c r="Q10" s="594"/>
      <c r="R10" s="594"/>
      <c r="S10" s="325">
        <f>+K10-L10-M10</f>
        <v>20000</v>
      </c>
    </row>
    <row r="11" spans="1:19" ht="19.5" customHeight="1" thickBot="1">
      <c r="A11" s="117" t="s">
        <v>356</v>
      </c>
      <c r="B11" s="581"/>
      <c r="C11" s="112">
        <v>20000</v>
      </c>
      <c r="D11" s="112"/>
      <c r="E11" s="28"/>
      <c r="F11" s="241"/>
      <c r="G11" s="28">
        <v>1995</v>
      </c>
      <c r="H11" s="241">
        <v>20000</v>
      </c>
      <c r="I11" s="324"/>
      <c r="J11" s="28"/>
      <c r="K11" s="241">
        <v>20000</v>
      </c>
      <c r="L11" s="112">
        <v>0</v>
      </c>
      <c r="M11" s="112"/>
      <c r="N11" s="112"/>
      <c r="O11" s="115"/>
      <c r="P11" s="116"/>
      <c r="Q11" s="594"/>
      <c r="R11" s="594"/>
      <c r="S11" s="325">
        <f aca="true" t="shared" si="0" ref="S11:S63">+K11-L11-M11</f>
        <v>20000</v>
      </c>
    </row>
    <row r="12" spans="1:19" ht="19.5" customHeight="1" thickBot="1">
      <c r="A12" s="120"/>
      <c r="B12" s="581"/>
      <c r="C12" s="112">
        <v>20000</v>
      </c>
      <c r="D12" s="112"/>
      <c r="E12" s="28"/>
      <c r="F12" s="241"/>
      <c r="G12" s="28">
        <v>1996</v>
      </c>
      <c r="H12" s="241">
        <v>20000</v>
      </c>
      <c r="I12" s="324"/>
      <c r="J12" s="28"/>
      <c r="K12" s="241">
        <v>20000</v>
      </c>
      <c r="L12" s="112">
        <v>0</v>
      </c>
      <c r="M12" s="112"/>
      <c r="N12" s="112"/>
      <c r="O12" s="115"/>
      <c r="P12" s="116"/>
      <c r="Q12" s="594"/>
      <c r="R12" s="594"/>
      <c r="S12" s="325">
        <f t="shared" si="0"/>
        <v>20000</v>
      </c>
    </row>
    <row r="13" spans="1:19" ht="19.5" customHeight="1" thickBot="1">
      <c r="A13" s="120"/>
      <c r="B13" s="581"/>
      <c r="C13" s="118">
        <v>20000</v>
      </c>
      <c r="D13" s="118"/>
      <c r="E13" s="123"/>
      <c r="F13" s="233"/>
      <c r="G13" s="123">
        <v>1997</v>
      </c>
      <c r="H13" s="233">
        <v>20000</v>
      </c>
      <c r="I13" s="326">
        <v>1997</v>
      </c>
      <c r="J13" s="233">
        <v>14930.468818803636</v>
      </c>
      <c r="K13" s="233">
        <v>20000</v>
      </c>
      <c r="L13" s="233">
        <f>14930.4688188036+2</f>
        <v>14932.4688188036</v>
      </c>
      <c r="M13" s="233"/>
      <c r="N13" s="233"/>
      <c r="O13" s="252" t="s">
        <v>357</v>
      </c>
      <c r="P13" s="235"/>
      <c r="Q13" s="594"/>
      <c r="R13" s="594"/>
      <c r="S13" s="325">
        <f t="shared" si="0"/>
        <v>5067.5311811964</v>
      </c>
    </row>
    <row r="14" spans="1:19" ht="19.5" customHeight="1" thickBot="1">
      <c r="A14" s="296"/>
      <c r="B14" s="581"/>
      <c r="C14" s="236"/>
      <c r="D14" s="236"/>
      <c r="E14" s="236"/>
      <c r="F14" s="233"/>
      <c r="G14" s="236"/>
      <c r="H14" s="233"/>
      <c r="I14" s="326">
        <f>+I13</f>
        <v>1997</v>
      </c>
      <c r="J14" s="233">
        <v>14857.977903422983</v>
      </c>
      <c r="K14" s="233"/>
      <c r="L14" s="233">
        <v>14857.977903422983</v>
      </c>
      <c r="M14" s="233"/>
      <c r="N14" s="233"/>
      <c r="O14" s="416" t="s">
        <v>358</v>
      </c>
      <c r="P14" s="235"/>
      <c r="Q14" s="594"/>
      <c r="R14" s="594"/>
      <c r="S14" s="325">
        <f t="shared" si="0"/>
        <v>-14857.977903422983</v>
      </c>
    </row>
    <row r="15" spans="1:19" ht="19.5" customHeight="1" thickBot="1">
      <c r="A15" s="296"/>
      <c r="B15" s="581"/>
      <c r="C15" s="236"/>
      <c r="D15" s="236"/>
      <c r="E15" s="236"/>
      <c r="F15" s="233"/>
      <c r="G15" s="236"/>
      <c r="H15" s="233"/>
      <c r="I15" s="326">
        <f>+I14</f>
        <v>1997</v>
      </c>
      <c r="J15" s="233">
        <v>5296.239914425428</v>
      </c>
      <c r="K15" s="233"/>
      <c r="L15" s="233">
        <v>5296.239914425428</v>
      </c>
      <c r="M15" s="233"/>
      <c r="N15" s="233"/>
      <c r="O15" s="416" t="s">
        <v>359</v>
      </c>
      <c r="P15" s="235"/>
      <c r="Q15" s="594"/>
      <c r="R15" s="594"/>
      <c r="S15" s="325">
        <f t="shared" si="0"/>
        <v>-5296.239914425428</v>
      </c>
    </row>
    <row r="16" spans="1:19" ht="19.5" customHeight="1" thickBot="1">
      <c r="A16" s="296"/>
      <c r="B16" s="236"/>
      <c r="C16" s="239"/>
      <c r="D16" s="239"/>
      <c r="E16" s="239"/>
      <c r="F16" s="327"/>
      <c r="G16" s="239"/>
      <c r="H16" s="327"/>
      <c r="I16" s="303">
        <f>+I15</f>
        <v>1997</v>
      </c>
      <c r="J16" s="327">
        <v>17229.685840356935</v>
      </c>
      <c r="K16" s="327"/>
      <c r="L16" s="327">
        <v>17229.685840356935</v>
      </c>
      <c r="M16" s="327"/>
      <c r="N16" s="327"/>
      <c r="O16" s="253" t="s">
        <v>360</v>
      </c>
      <c r="P16" s="248"/>
      <c r="Q16" s="594"/>
      <c r="R16" s="594"/>
      <c r="S16" s="325">
        <f t="shared" si="0"/>
        <v>-17229.685840356935</v>
      </c>
    </row>
    <row r="17" spans="1:19" ht="19.5" customHeight="1" thickBot="1">
      <c r="A17" s="120"/>
      <c r="B17" s="123"/>
      <c r="C17" s="241">
        <v>20000</v>
      </c>
      <c r="D17" s="241"/>
      <c r="E17" s="28"/>
      <c r="F17" s="241"/>
      <c r="G17" s="28">
        <v>1998</v>
      </c>
      <c r="H17" s="241">
        <v>20000</v>
      </c>
      <c r="I17" s="324">
        <f>+A17</f>
        <v>0</v>
      </c>
      <c r="J17" s="112">
        <v>6352.248511159804</v>
      </c>
      <c r="K17" s="241">
        <v>20000</v>
      </c>
      <c r="L17" s="112">
        <v>6352.248511159804</v>
      </c>
      <c r="M17" s="112"/>
      <c r="N17" s="112"/>
      <c r="O17" s="297" t="s">
        <v>361</v>
      </c>
      <c r="P17" s="231"/>
      <c r="Q17" s="594"/>
      <c r="R17" s="594"/>
      <c r="S17" s="325">
        <f t="shared" si="0"/>
        <v>13647.751488840197</v>
      </c>
    </row>
    <row r="18" spans="1:19" ht="19.5" customHeight="1" thickBot="1">
      <c r="A18" s="296"/>
      <c r="B18" s="123"/>
      <c r="C18" s="241">
        <v>20000</v>
      </c>
      <c r="D18" s="241"/>
      <c r="E18" s="28"/>
      <c r="F18" s="112"/>
      <c r="G18" s="28">
        <v>1999</v>
      </c>
      <c r="H18" s="112">
        <v>20000</v>
      </c>
      <c r="I18" s="324">
        <v>1999</v>
      </c>
      <c r="J18" s="112">
        <v>0</v>
      </c>
      <c r="K18" s="112">
        <v>20000</v>
      </c>
      <c r="L18" s="112">
        <f>+J18</f>
        <v>0</v>
      </c>
      <c r="M18" s="112"/>
      <c r="N18" s="112"/>
      <c r="O18" s="297"/>
      <c r="P18" s="231"/>
      <c r="Q18" s="594"/>
      <c r="R18" s="594"/>
      <c r="S18" s="325">
        <f t="shared" si="0"/>
        <v>20000</v>
      </c>
    </row>
    <row r="19" spans="1:19" ht="19.5" customHeight="1" thickBot="1">
      <c r="A19" s="296"/>
      <c r="B19" s="123"/>
      <c r="C19" s="112">
        <v>20000</v>
      </c>
      <c r="D19" s="112"/>
      <c r="E19" s="28"/>
      <c r="F19" s="112"/>
      <c r="G19" s="28">
        <v>2000</v>
      </c>
      <c r="H19" s="112">
        <v>20000</v>
      </c>
      <c r="I19" s="324">
        <v>2000</v>
      </c>
      <c r="J19" s="112">
        <v>0</v>
      </c>
      <c r="K19" s="112">
        <v>20000</v>
      </c>
      <c r="L19" s="112">
        <f>+J19</f>
        <v>0</v>
      </c>
      <c r="M19" s="112"/>
      <c r="N19" s="112"/>
      <c r="O19" s="297"/>
      <c r="P19" s="231"/>
      <c r="Q19" s="594"/>
      <c r="R19" s="594"/>
      <c r="S19" s="325">
        <f t="shared" si="0"/>
        <v>20000</v>
      </c>
    </row>
    <row r="20" spans="1:19" ht="19.5" customHeight="1" thickBot="1">
      <c r="A20" s="296"/>
      <c r="B20" s="123"/>
      <c r="C20" s="118">
        <v>20000</v>
      </c>
      <c r="D20" s="118"/>
      <c r="E20" s="123"/>
      <c r="F20" s="118"/>
      <c r="G20" s="123">
        <v>2001</v>
      </c>
      <c r="H20" s="118">
        <v>20000</v>
      </c>
      <c r="I20" s="326">
        <v>2001</v>
      </c>
      <c r="J20" s="233">
        <v>1666.4920085976141</v>
      </c>
      <c r="K20" s="118">
        <v>20000</v>
      </c>
      <c r="L20" s="233">
        <v>1666.4920085976141</v>
      </c>
      <c r="M20" s="233"/>
      <c r="N20" s="233"/>
      <c r="O20" s="252" t="s">
        <v>362</v>
      </c>
      <c r="P20" s="235"/>
      <c r="Q20" s="594"/>
      <c r="R20" s="594"/>
      <c r="S20" s="325">
        <f t="shared" si="0"/>
        <v>18333.507991402385</v>
      </c>
    </row>
    <row r="21" spans="1:19" ht="19.5" customHeight="1" thickBot="1">
      <c r="A21" s="296"/>
      <c r="B21" s="236"/>
      <c r="C21" s="236"/>
      <c r="D21" s="236"/>
      <c r="E21" s="236"/>
      <c r="F21" s="233"/>
      <c r="G21" s="236"/>
      <c r="H21" s="233"/>
      <c r="I21" s="326">
        <f>+I20</f>
        <v>2001</v>
      </c>
      <c r="J21" s="233">
        <v>19246.531644258408</v>
      </c>
      <c r="K21" s="233"/>
      <c r="L21" s="233">
        <v>19246.531644258408</v>
      </c>
      <c r="M21" s="233"/>
      <c r="N21" s="233"/>
      <c r="O21" s="416" t="s">
        <v>363</v>
      </c>
      <c r="P21" s="235"/>
      <c r="Q21" s="594"/>
      <c r="R21" s="594"/>
      <c r="S21" s="325">
        <f t="shared" si="0"/>
        <v>-19246.531644258408</v>
      </c>
    </row>
    <row r="22" spans="1:19" ht="19.5" customHeight="1" thickBot="1">
      <c r="A22" s="296"/>
      <c r="B22" s="236"/>
      <c r="C22" s="236"/>
      <c r="D22" s="236"/>
      <c r="E22" s="236"/>
      <c r="F22" s="233"/>
      <c r="G22" s="236"/>
      <c r="H22" s="233"/>
      <c r="I22" s="326">
        <f aca="true" t="shared" si="1" ref="I22:I31">+I21</f>
        <v>2001</v>
      </c>
      <c r="J22" s="233">
        <v>11064.428717381965</v>
      </c>
      <c r="K22" s="233"/>
      <c r="L22" s="233">
        <v>11064.428717381965</v>
      </c>
      <c r="M22" s="233"/>
      <c r="N22" s="233"/>
      <c r="O22" s="416" t="s">
        <v>364</v>
      </c>
      <c r="P22" s="235"/>
      <c r="Q22" s="594"/>
      <c r="R22" s="594"/>
      <c r="S22" s="325">
        <f t="shared" si="0"/>
        <v>-11064.428717381965</v>
      </c>
    </row>
    <row r="23" spans="1:19" ht="19.5" customHeight="1" thickBot="1">
      <c r="A23" s="296"/>
      <c r="B23" s="236"/>
      <c r="C23" s="236"/>
      <c r="D23" s="236"/>
      <c r="E23" s="236"/>
      <c r="F23" s="233"/>
      <c r="G23" s="236"/>
      <c r="H23" s="233"/>
      <c r="I23" s="326">
        <f t="shared" si="1"/>
        <v>2001</v>
      </c>
      <c r="J23" s="233">
        <v>6573.866463943155</v>
      </c>
      <c r="K23" s="233"/>
      <c r="L23" s="233">
        <v>6573.866463943155</v>
      </c>
      <c r="M23" s="233"/>
      <c r="N23" s="233"/>
      <c r="O23" s="416" t="s">
        <v>365</v>
      </c>
      <c r="P23" s="235"/>
      <c r="Q23" s="594"/>
      <c r="R23" s="594"/>
      <c r="S23" s="325">
        <f t="shared" si="0"/>
        <v>-6573.866463943155</v>
      </c>
    </row>
    <row r="24" spans="1:19" ht="19.5" customHeight="1" thickBot="1">
      <c r="A24" s="296"/>
      <c r="B24" s="236"/>
      <c r="C24" s="239"/>
      <c r="D24" s="239"/>
      <c r="E24" s="239"/>
      <c r="F24" s="327"/>
      <c r="G24" s="239"/>
      <c r="H24" s="327"/>
      <c r="I24" s="303">
        <f t="shared" si="1"/>
        <v>2001</v>
      </c>
      <c r="J24" s="327">
        <v>37761.691719992</v>
      </c>
      <c r="K24" s="327"/>
      <c r="L24" s="327">
        <v>37761.691719992</v>
      </c>
      <c r="M24" s="327"/>
      <c r="N24" s="327"/>
      <c r="O24" s="253" t="s">
        <v>366</v>
      </c>
      <c r="P24" s="248"/>
      <c r="Q24" s="594"/>
      <c r="R24" s="594"/>
      <c r="S24" s="325">
        <f t="shared" si="0"/>
        <v>-37761.691719992</v>
      </c>
    </row>
    <row r="25" spans="1:19" ht="19.5" customHeight="1" thickBot="1">
      <c r="A25" s="296"/>
      <c r="B25" s="123"/>
      <c r="C25" s="233">
        <v>20000</v>
      </c>
      <c r="D25" s="233"/>
      <c r="E25" s="123"/>
      <c r="F25" s="118"/>
      <c r="G25" s="123">
        <v>2002</v>
      </c>
      <c r="H25" s="118">
        <v>20000</v>
      </c>
      <c r="I25" s="326">
        <v>2002</v>
      </c>
      <c r="J25" s="233">
        <v>1951.0166136053597</v>
      </c>
      <c r="K25" s="118">
        <v>20000</v>
      </c>
      <c r="L25" s="233">
        <v>1951.0166136053597</v>
      </c>
      <c r="M25" s="233"/>
      <c r="N25" s="233"/>
      <c r="O25" s="252" t="s">
        <v>367</v>
      </c>
      <c r="P25" s="235"/>
      <c r="Q25" s="594"/>
      <c r="R25" s="594"/>
      <c r="S25" s="325">
        <f t="shared" si="0"/>
        <v>18048.98338639464</v>
      </c>
    </row>
    <row r="26" spans="1:19" ht="19.5" customHeight="1" thickBot="1">
      <c r="A26" s="296"/>
      <c r="B26" s="236"/>
      <c r="C26" s="236"/>
      <c r="D26" s="236"/>
      <c r="E26" s="236"/>
      <c r="F26" s="233"/>
      <c r="G26" s="236"/>
      <c r="H26" s="233"/>
      <c r="I26" s="326">
        <f t="shared" si="1"/>
        <v>2002</v>
      </c>
      <c r="J26" s="233">
        <v>1304.9008008530845</v>
      </c>
      <c r="K26" s="233"/>
      <c r="L26" s="233">
        <v>1304.9008008530845</v>
      </c>
      <c r="M26" s="233"/>
      <c r="N26" s="233"/>
      <c r="O26" s="416" t="s">
        <v>363</v>
      </c>
      <c r="P26" s="235"/>
      <c r="Q26" s="594"/>
      <c r="R26" s="594"/>
      <c r="S26" s="325">
        <f t="shared" si="0"/>
        <v>-1304.9008008530845</v>
      </c>
    </row>
    <row r="27" spans="1:19" ht="19.5" customHeight="1" thickBot="1">
      <c r="A27" s="296"/>
      <c r="B27" s="236"/>
      <c r="C27" s="236"/>
      <c r="D27" s="236"/>
      <c r="E27" s="236"/>
      <c r="F27" s="233"/>
      <c r="G27" s="236"/>
      <c r="H27" s="233"/>
      <c r="I27" s="326">
        <f t="shared" si="1"/>
        <v>2002</v>
      </c>
      <c r="J27" s="233">
        <v>1009.8696746709732</v>
      </c>
      <c r="K27" s="233"/>
      <c r="L27" s="233">
        <v>1009.8696746709732</v>
      </c>
      <c r="M27" s="233"/>
      <c r="N27" s="233"/>
      <c r="O27" s="416" t="s">
        <v>366</v>
      </c>
      <c r="P27" s="235"/>
      <c r="Q27" s="594"/>
      <c r="R27" s="594"/>
      <c r="S27" s="325">
        <f t="shared" si="0"/>
        <v>-1009.8696746709732</v>
      </c>
    </row>
    <row r="28" spans="1:19" ht="19.5" customHeight="1" thickBot="1">
      <c r="A28" s="296"/>
      <c r="B28" s="236"/>
      <c r="C28" s="236"/>
      <c r="D28" s="236"/>
      <c r="E28" s="236"/>
      <c r="F28" s="233"/>
      <c r="G28" s="236"/>
      <c r="H28" s="233"/>
      <c r="I28" s="326">
        <f t="shared" si="1"/>
        <v>2002</v>
      </c>
      <c r="J28" s="233">
        <v>3090.8009677973146</v>
      </c>
      <c r="K28" s="233"/>
      <c r="L28" s="233">
        <v>3090.8009677973146</v>
      </c>
      <c r="M28" s="233"/>
      <c r="N28" s="233"/>
      <c r="O28" s="416" t="s">
        <v>368</v>
      </c>
      <c r="P28" s="235"/>
      <c r="Q28" s="594"/>
      <c r="R28" s="594"/>
      <c r="S28" s="325">
        <f t="shared" si="0"/>
        <v>-3090.8009677973146</v>
      </c>
    </row>
    <row r="29" spans="1:19" ht="19.5" customHeight="1" thickBot="1">
      <c r="A29" s="296"/>
      <c r="B29" s="236"/>
      <c r="C29" s="236"/>
      <c r="D29" s="236"/>
      <c r="E29" s="236"/>
      <c r="F29" s="233"/>
      <c r="G29" s="236"/>
      <c r="H29" s="233"/>
      <c r="I29" s="326">
        <f t="shared" si="1"/>
        <v>2002</v>
      </c>
      <c r="J29" s="233">
        <v>5935.740632886818</v>
      </c>
      <c r="K29" s="233"/>
      <c r="L29" s="233">
        <v>5935.740632886818</v>
      </c>
      <c r="M29" s="233"/>
      <c r="N29" s="233"/>
      <c r="O29" s="416" t="s">
        <v>369</v>
      </c>
      <c r="P29" s="235"/>
      <c r="Q29" s="594"/>
      <c r="R29" s="594"/>
      <c r="S29" s="325">
        <f t="shared" si="0"/>
        <v>-5935.740632886818</v>
      </c>
    </row>
    <row r="30" spans="1:19" ht="19.5" customHeight="1" thickBot="1">
      <c r="A30" s="296"/>
      <c r="B30" s="236"/>
      <c r="C30" s="236"/>
      <c r="D30" s="236"/>
      <c r="E30" s="236"/>
      <c r="F30" s="233"/>
      <c r="G30" s="236"/>
      <c r="H30" s="233"/>
      <c r="I30" s="326">
        <f t="shared" si="1"/>
        <v>2002</v>
      </c>
      <c r="J30" s="233">
        <v>5851.368505834541</v>
      </c>
      <c r="K30" s="233"/>
      <c r="L30" s="233">
        <v>5851.368505834541</v>
      </c>
      <c r="M30" s="233"/>
      <c r="N30" s="233"/>
      <c r="O30" s="416" t="s">
        <v>370</v>
      </c>
      <c r="P30" s="235"/>
      <c r="Q30" s="594"/>
      <c r="R30" s="594"/>
      <c r="S30" s="325">
        <f t="shared" si="0"/>
        <v>-5851.368505834541</v>
      </c>
    </row>
    <row r="31" spans="1:19" ht="19.5" customHeight="1" thickBot="1">
      <c r="A31" s="296"/>
      <c r="B31" s="236"/>
      <c r="C31" s="239"/>
      <c r="D31" s="239"/>
      <c r="E31" s="239"/>
      <c r="F31" s="327"/>
      <c r="G31" s="239"/>
      <c r="H31" s="327"/>
      <c r="I31" s="303">
        <f t="shared" si="1"/>
        <v>2002</v>
      </c>
      <c r="J31" s="327">
        <v>1585.241411841719</v>
      </c>
      <c r="K31" s="327"/>
      <c r="L31" s="327">
        <v>1585.241411841719</v>
      </c>
      <c r="M31" s="327"/>
      <c r="N31" s="327"/>
      <c r="O31" s="253" t="s">
        <v>371</v>
      </c>
      <c r="P31" s="248"/>
      <c r="Q31" s="594"/>
      <c r="R31" s="594"/>
      <c r="S31" s="325">
        <f t="shared" si="0"/>
        <v>-1585.241411841719</v>
      </c>
    </row>
    <row r="32" spans="1:19" ht="19.5" customHeight="1" thickBot="1">
      <c r="A32" s="296"/>
      <c r="B32" s="123"/>
      <c r="C32" s="233">
        <v>20000</v>
      </c>
      <c r="D32" s="233"/>
      <c r="E32" s="123"/>
      <c r="F32" s="118"/>
      <c r="G32" s="123">
        <v>2003</v>
      </c>
      <c r="H32" s="118">
        <v>20000</v>
      </c>
      <c r="I32" s="326">
        <v>2003</v>
      </c>
      <c r="J32" s="118">
        <v>1791.3738967479635</v>
      </c>
      <c r="K32" s="118">
        <v>20000</v>
      </c>
      <c r="L32" s="118">
        <v>1791.3738967479635</v>
      </c>
      <c r="M32" s="118"/>
      <c r="N32" s="118"/>
      <c r="O32" s="252" t="s">
        <v>372</v>
      </c>
      <c r="P32" s="235"/>
      <c r="Q32" s="594"/>
      <c r="R32" s="594"/>
      <c r="S32" s="325">
        <f t="shared" si="0"/>
        <v>18208.626103252038</v>
      </c>
    </row>
    <row r="33" spans="1:19" ht="19.5" customHeight="1" thickBot="1">
      <c r="A33" s="296"/>
      <c r="B33" s="236"/>
      <c r="C33" s="236"/>
      <c r="D33" s="236"/>
      <c r="E33" s="236"/>
      <c r="F33" s="233"/>
      <c r="G33" s="236"/>
      <c r="H33" s="233"/>
      <c r="I33" s="326">
        <v>2003</v>
      </c>
      <c r="J33" s="118">
        <v>3560.2028487518846</v>
      </c>
      <c r="K33" s="233"/>
      <c r="L33" s="118">
        <v>3560.2028487518846</v>
      </c>
      <c r="M33" s="118"/>
      <c r="N33" s="118"/>
      <c r="O33" s="416" t="s">
        <v>369</v>
      </c>
      <c r="P33" s="235"/>
      <c r="Q33" s="594"/>
      <c r="R33" s="594"/>
      <c r="S33" s="325">
        <f t="shared" si="0"/>
        <v>-3560.2028487518846</v>
      </c>
    </row>
    <row r="34" spans="1:19" ht="19.5" customHeight="1" thickBot="1">
      <c r="A34" s="296"/>
      <c r="B34" s="236"/>
      <c r="C34" s="236"/>
      <c r="D34" s="236"/>
      <c r="E34" s="236"/>
      <c r="F34" s="233"/>
      <c r="G34" s="236"/>
      <c r="H34" s="233"/>
      <c r="I34" s="326">
        <v>2003</v>
      </c>
      <c r="J34" s="118">
        <v>2959.557843313603</v>
      </c>
      <c r="K34" s="233"/>
      <c r="L34" s="118">
        <v>2959.557843313603</v>
      </c>
      <c r="M34" s="118"/>
      <c r="N34" s="118"/>
      <c r="O34" s="416" t="s">
        <v>373</v>
      </c>
      <c r="P34" s="235"/>
      <c r="Q34" s="594"/>
      <c r="R34" s="594"/>
      <c r="S34" s="325">
        <f t="shared" si="0"/>
        <v>-2959.557843313603</v>
      </c>
    </row>
    <row r="35" spans="1:19" ht="19.5" customHeight="1" thickBot="1">
      <c r="A35" s="296"/>
      <c r="B35" s="236"/>
      <c r="C35" s="236"/>
      <c r="D35" s="236"/>
      <c r="E35" s="236"/>
      <c r="F35" s="233"/>
      <c r="G35" s="236"/>
      <c r="H35" s="233"/>
      <c r="I35" s="326">
        <v>2003</v>
      </c>
      <c r="J35" s="118">
        <v>1475.0205511576733</v>
      </c>
      <c r="K35" s="233"/>
      <c r="L35" s="118">
        <v>1475.0205511576733</v>
      </c>
      <c r="M35" s="118"/>
      <c r="N35" s="118"/>
      <c r="O35" s="416" t="s">
        <v>370</v>
      </c>
      <c r="P35" s="235"/>
      <c r="Q35" s="594"/>
      <c r="R35" s="594"/>
      <c r="S35" s="325">
        <f t="shared" si="0"/>
        <v>-1475.0205511576733</v>
      </c>
    </row>
    <row r="36" spans="1:19" ht="19.5" customHeight="1" thickBot="1">
      <c r="A36" s="296"/>
      <c r="B36" s="236"/>
      <c r="C36" s="239"/>
      <c r="D36" s="239"/>
      <c r="E36" s="239"/>
      <c r="F36" s="327"/>
      <c r="G36" s="239"/>
      <c r="H36" s="327"/>
      <c r="I36" s="303">
        <v>2003</v>
      </c>
      <c r="J36" s="127">
        <v>551.822370754652</v>
      </c>
      <c r="K36" s="327"/>
      <c r="L36" s="127">
        <v>551.822370754652</v>
      </c>
      <c r="M36" s="127"/>
      <c r="N36" s="127"/>
      <c r="O36" s="253" t="s">
        <v>371</v>
      </c>
      <c r="P36" s="248"/>
      <c r="Q36" s="594"/>
      <c r="R36" s="594"/>
      <c r="S36" s="325">
        <f t="shared" si="0"/>
        <v>-551.822370754652</v>
      </c>
    </row>
    <row r="37" spans="1:19" ht="19.5" customHeight="1" thickBot="1">
      <c r="A37" s="296"/>
      <c r="B37" s="123"/>
      <c r="C37" s="241">
        <v>20000</v>
      </c>
      <c r="D37" s="241"/>
      <c r="E37" s="28"/>
      <c r="F37" s="112"/>
      <c r="G37" s="28">
        <v>2004</v>
      </c>
      <c r="H37" s="112">
        <v>20000</v>
      </c>
      <c r="I37" s="324">
        <v>2004</v>
      </c>
      <c r="J37" s="112">
        <v>0</v>
      </c>
      <c r="K37" s="112">
        <v>20000</v>
      </c>
      <c r="L37" s="112">
        <f>+J37</f>
        <v>0</v>
      </c>
      <c r="M37" s="112"/>
      <c r="N37" s="112"/>
      <c r="O37" s="297"/>
      <c r="P37" s="231"/>
      <c r="Q37" s="594"/>
      <c r="R37" s="594"/>
      <c r="S37" s="325">
        <f t="shared" si="0"/>
        <v>20000</v>
      </c>
    </row>
    <row r="38" spans="1:19" ht="19.5" customHeight="1" thickBot="1">
      <c r="A38" s="296"/>
      <c r="B38" s="123"/>
      <c r="C38" s="241">
        <v>20000</v>
      </c>
      <c r="D38" s="241"/>
      <c r="E38" s="28"/>
      <c r="F38" s="112"/>
      <c r="G38" s="28">
        <v>2005</v>
      </c>
      <c r="H38" s="112">
        <v>20000</v>
      </c>
      <c r="I38" s="300">
        <v>2005</v>
      </c>
      <c r="J38" s="112">
        <v>0</v>
      </c>
      <c r="K38" s="112">
        <v>20000</v>
      </c>
      <c r="L38" s="112">
        <f>+J38</f>
        <v>0</v>
      </c>
      <c r="M38" s="112"/>
      <c r="N38" s="112"/>
      <c r="O38" s="297"/>
      <c r="P38" s="231"/>
      <c r="Q38" s="594"/>
      <c r="R38" s="594"/>
      <c r="S38" s="325">
        <f t="shared" si="0"/>
        <v>20000</v>
      </c>
    </row>
    <row r="39" spans="1:19" ht="19.5" customHeight="1" thickBot="1">
      <c r="A39" s="296"/>
      <c r="B39" s="123"/>
      <c r="C39" s="233">
        <v>20000</v>
      </c>
      <c r="D39" s="233"/>
      <c r="E39" s="123"/>
      <c r="F39" s="118"/>
      <c r="G39" s="123">
        <v>2006</v>
      </c>
      <c r="H39" s="118">
        <v>20000</v>
      </c>
      <c r="I39" s="302">
        <v>2006</v>
      </c>
      <c r="J39" s="118">
        <v>969.0396179249802</v>
      </c>
      <c r="K39" s="118">
        <v>20000</v>
      </c>
      <c r="L39" s="118">
        <v>969.0396179249802</v>
      </c>
      <c r="M39" s="118"/>
      <c r="N39" s="118"/>
      <c r="O39" s="252" t="s">
        <v>374</v>
      </c>
      <c r="P39" s="235"/>
      <c r="Q39" s="594"/>
      <c r="R39" s="594"/>
      <c r="S39" s="325">
        <f t="shared" si="0"/>
        <v>19030.96038207502</v>
      </c>
    </row>
    <row r="40" spans="1:19" ht="19.5" customHeight="1" thickBot="1">
      <c r="A40" s="296"/>
      <c r="B40" s="236"/>
      <c r="C40" s="239"/>
      <c r="D40" s="239"/>
      <c r="E40" s="239"/>
      <c r="F40" s="327"/>
      <c r="G40" s="239"/>
      <c r="H40" s="327"/>
      <c r="I40" s="228">
        <v>2006</v>
      </c>
      <c r="J40" s="127">
        <v>20695.831136622422</v>
      </c>
      <c r="K40" s="327"/>
      <c r="L40" s="127">
        <v>20695.831136622422</v>
      </c>
      <c r="M40" s="127"/>
      <c r="N40" s="127"/>
      <c r="O40" s="426" t="s">
        <v>375</v>
      </c>
      <c r="P40" s="248"/>
      <c r="Q40" s="594"/>
      <c r="R40" s="594"/>
      <c r="S40" s="325">
        <f t="shared" si="0"/>
        <v>-20695.831136622422</v>
      </c>
    </row>
    <row r="41" spans="1:19" ht="19.5" customHeight="1" thickBot="1">
      <c r="A41" s="296"/>
      <c r="B41" s="123"/>
      <c r="C41" s="327">
        <v>20000</v>
      </c>
      <c r="D41" s="327"/>
      <c r="E41" s="226"/>
      <c r="F41" s="127"/>
      <c r="G41" s="226">
        <v>2007</v>
      </c>
      <c r="H41" s="127">
        <v>20000</v>
      </c>
      <c r="I41" s="303">
        <v>2007</v>
      </c>
      <c r="J41" s="127">
        <v>15058.021893013898</v>
      </c>
      <c r="K41" s="127">
        <v>20000</v>
      </c>
      <c r="L41" s="127">
        <v>15058.021893013898</v>
      </c>
      <c r="M41" s="127"/>
      <c r="N41" s="127"/>
      <c r="O41" s="253" t="s">
        <v>375</v>
      </c>
      <c r="P41" s="248"/>
      <c r="Q41" s="594"/>
      <c r="R41" s="594"/>
      <c r="S41" s="325">
        <f t="shared" si="0"/>
        <v>4941.978106986102</v>
      </c>
    </row>
    <row r="42" spans="1:19" ht="19.5" customHeight="1" thickBot="1">
      <c r="A42" s="296"/>
      <c r="B42" s="123"/>
      <c r="C42" s="241">
        <v>20000</v>
      </c>
      <c r="D42" s="241"/>
      <c r="E42" s="28"/>
      <c r="F42" s="112"/>
      <c r="G42" s="28">
        <v>2008</v>
      </c>
      <c r="H42" s="112">
        <v>20000</v>
      </c>
      <c r="I42" s="324">
        <v>2008</v>
      </c>
      <c r="J42" s="112">
        <v>35879.75512534103</v>
      </c>
      <c r="K42" s="112">
        <v>20000</v>
      </c>
      <c r="L42" s="112">
        <v>35879.75512534103</v>
      </c>
      <c r="M42" s="127"/>
      <c r="N42" s="127"/>
      <c r="O42" s="253" t="s">
        <v>376</v>
      </c>
      <c r="P42" s="231"/>
      <c r="Q42" s="594"/>
      <c r="R42" s="594"/>
      <c r="S42" s="325">
        <f t="shared" si="0"/>
        <v>-15879.755125341027</v>
      </c>
    </row>
    <row r="43" spans="1:19" ht="19.5" customHeight="1" thickBot="1">
      <c r="A43" s="296"/>
      <c r="B43" s="123"/>
      <c r="C43" s="241">
        <v>20000</v>
      </c>
      <c r="D43" s="241"/>
      <c r="E43" s="28"/>
      <c r="F43" s="112"/>
      <c r="G43" s="28">
        <v>2009</v>
      </c>
      <c r="H43" s="112">
        <v>20000</v>
      </c>
      <c r="I43" s="300">
        <v>2009</v>
      </c>
      <c r="J43" s="112">
        <v>0</v>
      </c>
      <c r="K43" s="112">
        <v>20000</v>
      </c>
      <c r="L43" s="112">
        <f>+J43</f>
        <v>0</v>
      </c>
      <c r="M43" s="112"/>
      <c r="N43" s="112"/>
      <c r="O43" s="297"/>
      <c r="P43" s="231"/>
      <c r="Q43" s="595"/>
      <c r="R43" s="595"/>
      <c r="S43" s="325">
        <f t="shared" si="0"/>
        <v>20000</v>
      </c>
    </row>
    <row r="44" spans="1:19" ht="32.25" customHeight="1" thickBot="1">
      <c r="A44" s="296"/>
      <c r="B44" s="123"/>
      <c r="C44" s="241">
        <v>20000</v>
      </c>
      <c r="D44" s="241"/>
      <c r="E44" s="28"/>
      <c r="F44" s="112"/>
      <c r="G44" s="28">
        <v>2010</v>
      </c>
      <c r="H44" s="112">
        <v>20000</v>
      </c>
      <c r="I44" s="300">
        <v>2010</v>
      </c>
      <c r="J44" s="112">
        <v>49467.740100686155</v>
      </c>
      <c r="K44" s="112">
        <v>20000</v>
      </c>
      <c r="L44" s="112">
        <v>49467.740100686155</v>
      </c>
      <c r="M44" s="112"/>
      <c r="N44" s="112"/>
      <c r="O44" s="309" t="s">
        <v>377</v>
      </c>
      <c r="P44" s="231"/>
      <c r="Q44" s="575" t="s">
        <v>353</v>
      </c>
      <c r="R44" s="575" t="s">
        <v>378</v>
      </c>
      <c r="S44" s="325">
        <f t="shared" si="0"/>
        <v>-29467.740100686155</v>
      </c>
    </row>
    <row r="45" spans="1:19" ht="32.25" thickBot="1">
      <c r="A45" s="296"/>
      <c r="B45" s="123"/>
      <c r="C45" s="328">
        <v>20000</v>
      </c>
      <c r="D45" s="328"/>
      <c r="E45" s="303"/>
      <c r="F45" s="112"/>
      <c r="G45" s="303">
        <v>2011</v>
      </c>
      <c r="H45" s="112">
        <v>20000</v>
      </c>
      <c r="I45" s="228"/>
      <c r="J45" s="127"/>
      <c r="K45" s="112">
        <v>20000</v>
      </c>
      <c r="L45" s="127">
        <v>37141</v>
      </c>
      <c r="M45" s="127"/>
      <c r="N45" s="127"/>
      <c r="O45" s="329" t="s">
        <v>379</v>
      </c>
      <c r="P45" s="248"/>
      <c r="Q45" s="594"/>
      <c r="R45" s="594"/>
      <c r="S45" s="325">
        <f t="shared" si="0"/>
        <v>-17141</v>
      </c>
    </row>
    <row r="46" spans="1:19" ht="32.25" thickBot="1">
      <c r="A46" s="296"/>
      <c r="B46" s="123"/>
      <c r="C46" s="330">
        <v>20000</v>
      </c>
      <c r="D46" s="330"/>
      <c r="E46" s="331"/>
      <c r="F46" s="133"/>
      <c r="G46" s="331">
        <v>2012</v>
      </c>
      <c r="H46" s="133">
        <v>20000</v>
      </c>
      <c r="I46" s="307"/>
      <c r="J46" s="133"/>
      <c r="K46" s="133">
        <v>20000</v>
      </c>
      <c r="L46" s="133">
        <v>6399.819541607264</v>
      </c>
      <c r="M46" s="118"/>
      <c r="N46" s="118"/>
      <c r="O46" s="429" t="s">
        <v>380</v>
      </c>
      <c r="P46" s="234"/>
      <c r="Q46" s="594"/>
      <c r="R46" s="594"/>
      <c r="S46" s="325">
        <f t="shared" si="0"/>
        <v>13600.180458392737</v>
      </c>
    </row>
    <row r="47" spans="1:19" ht="32.25" thickBot="1">
      <c r="A47" s="296"/>
      <c r="B47" s="123"/>
      <c r="C47" s="233"/>
      <c r="D47" s="233"/>
      <c r="E47" s="326"/>
      <c r="F47" s="118"/>
      <c r="G47" s="326"/>
      <c r="H47" s="118"/>
      <c r="I47" s="302"/>
      <c r="J47" s="118"/>
      <c r="K47" s="118"/>
      <c r="L47" s="118">
        <v>3361.1678168323633</v>
      </c>
      <c r="M47" s="118"/>
      <c r="N47" s="118"/>
      <c r="O47" s="429" t="s">
        <v>381</v>
      </c>
      <c r="P47" s="235"/>
      <c r="Q47" s="594"/>
      <c r="R47" s="594"/>
      <c r="S47" s="325">
        <f t="shared" si="0"/>
        <v>-3361.1678168323633</v>
      </c>
    </row>
    <row r="48" spans="1:19" ht="32.25" thickBot="1">
      <c r="A48" s="296"/>
      <c r="B48" s="123"/>
      <c r="C48" s="233"/>
      <c r="D48" s="233"/>
      <c r="E48" s="326"/>
      <c r="F48" s="118"/>
      <c r="G48" s="326"/>
      <c r="H48" s="118"/>
      <c r="I48" s="302"/>
      <c r="J48" s="118"/>
      <c r="K48" s="118"/>
      <c r="L48" s="118">
        <v>3321.4290789043666</v>
      </c>
      <c r="M48" s="118"/>
      <c r="N48" s="118"/>
      <c r="O48" s="429" t="s">
        <v>382</v>
      </c>
      <c r="P48" s="235"/>
      <c r="Q48" s="594"/>
      <c r="R48" s="594"/>
      <c r="S48" s="325">
        <f t="shared" si="0"/>
        <v>-3321.4290789043666</v>
      </c>
    </row>
    <row r="49" spans="1:19" ht="72" customHeight="1" thickBot="1">
      <c r="A49" s="296"/>
      <c r="B49" s="123"/>
      <c r="C49" s="233"/>
      <c r="D49" s="233"/>
      <c r="E49" s="123"/>
      <c r="F49" s="118"/>
      <c r="G49" s="123"/>
      <c r="H49" s="118"/>
      <c r="I49" s="302"/>
      <c r="J49" s="118"/>
      <c r="K49" s="118"/>
      <c r="L49" s="118">
        <v>3377.2256921023973</v>
      </c>
      <c r="M49" s="118"/>
      <c r="N49" s="118"/>
      <c r="O49" s="429" t="s">
        <v>383</v>
      </c>
      <c r="P49" s="235"/>
      <c r="Q49" s="594"/>
      <c r="R49" s="594"/>
      <c r="S49" s="325">
        <f t="shared" si="0"/>
        <v>-3377.2256921023973</v>
      </c>
    </row>
    <row r="50" spans="1:19" ht="32.25" thickBot="1">
      <c r="A50" s="296"/>
      <c r="B50" s="123"/>
      <c r="C50" s="233"/>
      <c r="D50" s="233"/>
      <c r="E50" s="326"/>
      <c r="F50" s="118"/>
      <c r="G50" s="326"/>
      <c r="H50" s="118"/>
      <c r="I50" s="302"/>
      <c r="J50" s="118"/>
      <c r="K50" s="118"/>
      <c r="L50" s="118">
        <v>7138.835113046068</v>
      </c>
      <c r="M50" s="118"/>
      <c r="N50" s="118"/>
      <c r="O50" s="429" t="s">
        <v>384</v>
      </c>
      <c r="P50" s="235"/>
      <c r="Q50" s="594"/>
      <c r="R50" s="594"/>
      <c r="S50" s="325">
        <f t="shared" si="0"/>
        <v>-7138.835113046068</v>
      </c>
    </row>
    <row r="51" spans="1:19" ht="32.25" thickBot="1">
      <c r="A51" s="296"/>
      <c r="B51" s="123"/>
      <c r="C51" s="233"/>
      <c r="D51" s="233"/>
      <c r="E51" s="326"/>
      <c r="F51" s="118"/>
      <c r="G51" s="326"/>
      <c r="H51" s="118"/>
      <c r="I51" s="302"/>
      <c r="J51" s="118"/>
      <c r="K51" s="118"/>
      <c r="L51" s="118">
        <v>548.2975200819924</v>
      </c>
      <c r="M51" s="118"/>
      <c r="N51" s="118"/>
      <c r="O51" s="429" t="s">
        <v>385</v>
      </c>
      <c r="P51" s="235"/>
      <c r="Q51" s="594"/>
      <c r="R51" s="594"/>
      <c r="S51" s="325">
        <f t="shared" si="0"/>
        <v>-548.2975200819924</v>
      </c>
    </row>
    <row r="52" spans="1:19" ht="52.5" customHeight="1" thickBot="1">
      <c r="A52" s="296"/>
      <c r="B52" s="123"/>
      <c r="C52" s="327"/>
      <c r="D52" s="327"/>
      <c r="E52" s="303"/>
      <c r="F52" s="127"/>
      <c r="G52" s="303"/>
      <c r="H52" s="127"/>
      <c r="I52" s="228"/>
      <c r="J52" s="127"/>
      <c r="K52" s="127"/>
      <c r="L52" s="127"/>
      <c r="M52" s="127"/>
      <c r="N52" s="127"/>
      <c r="O52" s="430" t="s">
        <v>385</v>
      </c>
      <c r="P52" s="248"/>
      <c r="Q52" s="595"/>
      <c r="R52" s="595"/>
      <c r="S52" s="325">
        <f t="shared" si="0"/>
        <v>0</v>
      </c>
    </row>
    <row r="53" spans="1:19" ht="16.5" thickBot="1">
      <c r="A53" s="296"/>
      <c r="B53" s="123"/>
      <c r="C53" s="330">
        <v>20000</v>
      </c>
      <c r="D53" s="330"/>
      <c r="E53" s="331"/>
      <c r="F53" s="133"/>
      <c r="G53" s="331">
        <v>2013</v>
      </c>
      <c r="H53" s="133">
        <v>20000</v>
      </c>
      <c r="I53" s="307"/>
      <c r="J53" s="133"/>
      <c r="K53" s="133">
        <v>20000</v>
      </c>
      <c r="L53" s="133">
        <v>0</v>
      </c>
      <c r="M53" s="112">
        <v>50595</v>
      </c>
      <c r="N53" s="133"/>
      <c r="O53" s="431"/>
      <c r="P53" s="231"/>
      <c r="Q53" s="231"/>
      <c r="R53" s="297"/>
      <c r="S53" s="325">
        <f t="shared" si="0"/>
        <v>-30595</v>
      </c>
    </row>
    <row r="54" spans="1:19" ht="32.25" thickBot="1">
      <c r="A54" s="296"/>
      <c r="B54" s="123"/>
      <c r="C54" s="244">
        <v>20000</v>
      </c>
      <c r="D54" s="330"/>
      <c r="E54" s="331"/>
      <c r="F54" s="133"/>
      <c r="G54" s="331">
        <v>2014</v>
      </c>
      <c r="H54" s="133">
        <v>20000</v>
      </c>
      <c r="I54" s="307"/>
      <c r="J54" s="133"/>
      <c r="K54" s="133">
        <v>20000</v>
      </c>
      <c r="L54" s="133"/>
      <c r="M54" s="118"/>
      <c r="N54" s="133">
        <f>565653/100.3</f>
        <v>5639.611166500498</v>
      </c>
      <c r="O54" s="432" t="s">
        <v>386</v>
      </c>
      <c r="P54" s="235"/>
      <c r="Q54" s="235"/>
      <c r="R54" s="247"/>
      <c r="S54" s="325">
        <f t="shared" si="0"/>
        <v>20000</v>
      </c>
    </row>
    <row r="55" spans="1:19" ht="32.25" thickBot="1">
      <c r="A55" s="296"/>
      <c r="B55" s="326"/>
      <c r="C55" s="233"/>
      <c r="D55" s="334"/>
      <c r="E55" s="326"/>
      <c r="F55" s="118"/>
      <c r="G55" s="326"/>
      <c r="H55" s="118"/>
      <c r="I55" s="302"/>
      <c r="J55" s="118"/>
      <c r="K55" s="118"/>
      <c r="L55" s="118"/>
      <c r="M55" s="118"/>
      <c r="N55" s="118">
        <v>515</v>
      </c>
      <c r="O55" s="432" t="s">
        <v>387</v>
      </c>
      <c r="P55" s="234"/>
      <c r="Q55" s="235"/>
      <c r="R55" s="247"/>
      <c r="S55" s="325">
        <f t="shared" si="0"/>
        <v>0</v>
      </c>
    </row>
    <row r="56" spans="1:19" ht="52.5" customHeight="1" thickBot="1">
      <c r="A56" s="296"/>
      <c r="B56" s="326"/>
      <c r="C56" s="233"/>
      <c r="D56" s="334"/>
      <c r="E56" s="326"/>
      <c r="F56" s="118"/>
      <c r="G56" s="326"/>
      <c r="H56" s="118"/>
      <c r="I56" s="302"/>
      <c r="J56" s="118"/>
      <c r="K56" s="118"/>
      <c r="L56" s="118"/>
      <c r="M56" s="118"/>
      <c r="N56" s="118">
        <v>3961</v>
      </c>
      <c r="O56" s="432" t="s">
        <v>388</v>
      </c>
      <c r="P56" s="234"/>
      <c r="Q56" s="235"/>
      <c r="R56" s="247"/>
      <c r="S56" s="325">
        <f t="shared" si="0"/>
        <v>0</v>
      </c>
    </row>
    <row r="57" spans="1:19" ht="32.25" thickBot="1">
      <c r="A57" s="296"/>
      <c r="B57" s="326"/>
      <c r="C57" s="233"/>
      <c r="D57" s="334"/>
      <c r="E57" s="326"/>
      <c r="F57" s="118"/>
      <c r="G57" s="326"/>
      <c r="H57" s="118"/>
      <c r="I57" s="302"/>
      <c r="J57" s="118"/>
      <c r="K57" s="118"/>
      <c r="L57" s="118"/>
      <c r="M57" s="118"/>
      <c r="N57" s="118">
        <v>337</v>
      </c>
      <c r="O57" s="432" t="s">
        <v>389</v>
      </c>
      <c r="P57" s="234"/>
      <c r="Q57" s="235"/>
      <c r="R57" s="247"/>
      <c r="S57" s="325">
        <f t="shared" si="0"/>
        <v>0</v>
      </c>
    </row>
    <row r="58" spans="1:19" ht="32.25" thickBot="1">
      <c r="A58" s="296"/>
      <c r="B58" s="326"/>
      <c r="C58" s="233"/>
      <c r="D58" s="334"/>
      <c r="E58" s="326"/>
      <c r="F58" s="118"/>
      <c r="G58" s="326"/>
      <c r="H58" s="118"/>
      <c r="I58" s="302"/>
      <c r="J58" s="118"/>
      <c r="K58" s="118"/>
      <c r="L58" s="118"/>
      <c r="M58" s="118"/>
      <c r="N58" s="118">
        <v>3161</v>
      </c>
      <c r="O58" s="432" t="s">
        <v>390</v>
      </c>
      <c r="P58" s="234"/>
      <c r="Q58" s="235"/>
      <c r="R58" s="247"/>
      <c r="S58" s="325">
        <f t="shared" si="0"/>
        <v>0</v>
      </c>
    </row>
    <row r="59" spans="1:19" ht="16.5" thickBot="1">
      <c r="A59" s="296"/>
      <c r="B59" s="326"/>
      <c r="C59" s="233"/>
      <c r="D59" s="334"/>
      <c r="E59" s="326"/>
      <c r="F59" s="118"/>
      <c r="G59" s="326"/>
      <c r="H59" s="118"/>
      <c r="I59" s="302"/>
      <c r="J59" s="118"/>
      <c r="K59" s="118"/>
      <c r="L59" s="118"/>
      <c r="M59" s="118">
        <v>20000</v>
      </c>
      <c r="N59" s="118">
        <v>499</v>
      </c>
      <c r="O59" s="432" t="s">
        <v>391</v>
      </c>
      <c r="P59" s="234"/>
      <c r="Q59" s="235"/>
      <c r="R59" s="247"/>
      <c r="S59" s="325">
        <f>+K59-L59-M59</f>
        <v>-20000</v>
      </c>
    </row>
    <row r="60" spans="1:19" ht="16.5" thickBot="1">
      <c r="A60" s="296"/>
      <c r="B60" s="326"/>
      <c r="C60" s="233"/>
      <c r="D60" s="334"/>
      <c r="E60" s="326"/>
      <c r="F60" s="118"/>
      <c r="G60" s="326"/>
      <c r="H60" s="118"/>
      <c r="I60" s="302"/>
      <c r="J60" s="118"/>
      <c r="K60" s="118"/>
      <c r="L60" s="118"/>
      <c r="N60" s="118"/>
      <c r="O60" s="432"/>
      <c r="P60" s="234"/>
      <c r="Q60" s="235"/>
      <c r="R60" s="247"/>
      <c r="S60" s="325"/>
    </row>
    <row r="61" spans="1:19" ht="16.5" thickBot="1">
      <c r="A61" s="296"/>
      <c r="B61" s="326"/>
      <c r="C61" s="327"/>
      <c r="D61" s="328"/>
      <c r="E61" s="303"/>
      <c r="F61" s="127"/>
      <c r="G61" s="303"/>
      <c r="H61" s="127"/>
      <c r="I61" s="228"/>
      <c r="J61" s="127"/>
      <c r="K61" s="127">
        <v>0</v>
      </c>
      <c r="L61" s="127"/>
      <c r="M61" s="118"/>
      <c r="N61" s="118"/>
      <c r="O61" s="432"/>
      <c r="P61" s="234"/>
      <c r="Q61" s="235"/>
      <c r="R61" s="247"/>
      <c r="S61" s="325">
        <f t="shared" si="0"/>
        <v>0</v>
      </c>
    </row>
    <row r="62" spans="1:19" ht="16.5" thickBot="1">
      <c r="A62" s="296"/>
      <c r="B62" s="123"/>
      <c r="C62" s="244">
        <v>20000</v>
      </c>
      <c r="D62" s="330"/>
      <c r="E62" s="331"/>
      <c r="F62" s="133"/>
      <c r="G62" s="331">
        <v>2015</v>
      </c>
      <c r="H62" s="133">
        <v>20000</v>
      </c>
      <c r="I62" s="307"/>
      <c r="J62" s="133"/>
      <c r="K62" s="133">
        <v>20000</v>
      </c>
      <c r="L62" s="133">
        <v>0</v>
      </c>
      <c r="M62" s="133">
        <v>20000</v>
      </c>
      <c r="N62" s="118"/>
      <c r="O62" s="432"/>
      <c r="P62" s="235"/>
      <c r="Q62" s="235"/>
      <c r="R62" s="247"/>
      <c r="S62" s="325">
        <f t="shared" si="0"/>
        <v>0</v>
      </c>
    </row>
    <row r="63" spans="1:19" ht="16.5" thickBot="1">
      <c r="A63" s="296"/>
      <c r="B63" s="123"/>
      <c r="C63" s="244">
        <v>20000</v>
      </c>
      <c r="D63" s="330"/>
      <c r="E63" s="331"/>
      <c r="F63" s="133"/>
      <c r="G63" s="331">
        <v>2016</v>
      </c>
      <c r="H63" s="133">
        <v>20000</v>
      </c>
      <c r="I63" s="307"/>
      <c r="J63" s="133"/>
      <c r="K63" s="133">
        <v>20000</v>
      </c>
      <c r="L63" s="133">
        <v>0</v>
      </c>
      <c r="M63" s="133">
        <v>20000</v>
      </c>
      <c r="N63" s="118">
        <v>2511</v>
      </c>
      <c r="O63" s="432" t="s">
        <v>432</v>
      </c>
      <c r="P63" s="235"/>
      <c r="Q63" s="235"/>
      <c r="R63" s="247"/>
      <c r="S63" s="325">
        <f t="shared" si="0"/>
        <v>0</v>
      </c>
    </row>
    <row r="64" spans="1:19" ht="16.5" thickBot="1">
      <c r="A64" s="296"/>
      <c r="B64" s="123"/>
      <c r="C64" s="244"/>
      <c r="D64" s="330"/>
      <c r="E64" s="331"/>
      <c r="F64" s="133"/>
      <c r="G64" s="331"/>
      <c r="H64" s="133"/>
      <c r="I64" s="307"/>
      <c r="J64" s="133"/>
      <c r="K64" s="133"/>
      <c r="L64" s="133"/>
      <c r="M64" s="133"/>
      <c r="N64" s="118">
        <v>2923</v>
      </c>
      <c r="O64" s="432" t="s">
        <v>433</v>
      </c>
      <c r="P64" s="235"/>
      <c r="Q64" s="235"/>
      <c r="R64" s="247"/>
      <c r="S64" s="325"/>
    </row>
    <row r="65" spans="1:19" ht="16.5" thickBot="1">
      <c r="A65" s="296"/>
      <c r="B65" s="123"/>
      <c r="C65" s="244"/>
      <c r="D65" s="330"/>
      <c r="E65" s="331"/>
      <c r="F65" s="133"/>
      <c r="G65" s="331"/>
      <c r="H65" s="133"/>
      <c r="I65" s="307"/>
      <c r="J65" s="133"/>
      <c r="K65" s="133"/>
      <c r="L65" s="133"/>
      <c r="M65" s="133"/>
      <c r="N65" s="118">
        <v>8009</v>
      </c>
      <c r="O65" s="432" t="s">
        <v>425</v>
      </c>
      <c r="P65" s="235"/>
      <c r="Q65" s="235"/>
      <c r="R65" s="247"/>
      <c r="S65" s="325"/>
    </row>
    <row r="66" spans="1:19" ht="16.5" thickBot="1">
      <c r="A66" s="296"/>
      <c r="B66" s="123"/>
      <c r="C66" s="244">
        <v>20000</v>
      </c>
      <c r="D66" s="330"/>
      <c r="E66" s="331"/>
      <c r="F66" s="133"/>
      <c r="G66" s="331">
        <v>2017</v>
      </c>
      <c r="H66" s="133">
        <v>20000</v>
      </c>
      <c r="I66" s="307"/>
      <c r="J66" s="133"/>
      <c r="K66" s="133">
        <v>20000</v>
      </c>
      <c r="L66" s="133">
        <v>0</v>
      </c>
      <c r="M66" s="133">
        <v>20000</v>
      </c>
      <c r="N66" s="118"/>
      <c r="O66" s="432"/>
      <c r="P66" s="235"/>
      <c r="Q66" s="235"/>
      <c r="R66" s="247"/>
      <c r="S66" s="325">
        <f>+K66-L66-M66</f>
        <v>0</v>
      </c>
    </row>
    <row r="67" spans="1:19" ht="16.5" thickBot="1">
      <c r="A67" s="296"/>
      <c r="B67" s="123"/>
      <c r="C67" s="244">
        <v>20000</v>
      </c>
      <c r="D67" s="330"/>
      <c r="E67" s="331"/>
      <c r="F67" s="133"/>
      <c r="G67" s="331">
        <v>2018</v>
      </c>
      <c r="H67" s="133">
        <v>20000</v>
      </c>
      <c r="I67" s="307"/>
      <c r="J67" s="133"/>
      <c r="K67" s="133">
        <v>20000</v>
      </c>
      <c r="L67" s="133">
        <v>0</v>
      </c>
      <c r="M67" s="133">
        <v>20000</v>
      </c>
      <c r="N67" s="118"/>
      <c r="O67" s="432"/>
      <c r="P67" s="235"/>
      <c r="Q67" s="235"/>
      <c r="R67" s="247"/>
      <c r="S67" s="325">
        <f>+K67-L67-M67</f>
        <v>0</v>
      </c>
    </row>
    <row r="68" spans="1:19" ht="16.5" thickBot="1">
      <c r="A68" s="296"/>
      <c r="B68" s="326"/>
      <c r="C68" s="244">
        <v>20000</v>
      </c>
      <c r="D68" s="330"/>
      <c r="E68" s="331"/>
      <c r="F68" s="133"/>
      <c r="G68" s="331">
        <v>2019</v>
      </c>
      <c r="H68" s="133">
        <v>20000</v>
      </c>
      <c r="I68" s="307"/>
      <c r="J68" s="133"/>
      <c r="K68" s="133">
        <v>20000</v>
      </c>
      <c r="L68" s="133"/>
      <c r="M68" s="133">
        <v>13469</v>
      </c>
      <c r="N68" s="118"/>
      <c r="O68" s="432"/>
      <c r="P68" s="235"/>
      <c r="Q68" s="235"/>
      <c r="R68" s="247"/>
      <c r="S68" s="325">
        <f>+K68-L68-M68</f>
        <v>6531</v>
      </c>
    </row>
    <row r="69" spans="1:19" ht="19.5" customHeight="1" thickBot="1">
      <c r="A69" s="335"/>
      <c r="B69" s="145" t="s">
        <v>5</v>
      </c>
      <c r="C69" s="146">
        <f>SUM(C9:C68)</f>
        <v>520000</v>
      </c>
      <c r="D69" s="336"/>
      <c r="E69" s="337">
        <f>SUM(E9:E53)</f>
        <v>18.85</v>
      </c>
      <c r="F69" s="146"/>
      <c r="G69" s="145"/>
      <c r="H69" s="146">
        <f aca="true" t="shared" si="2" ref="H69:N69">SUM(H9:H68)</f>
        <v>520000</v>
      </c>
      <c r="I69" s="146">
        <f t="shared" si="2"/>
        <v>62076</v>
      </c>
      <c r="J69" s="146">
        <f t="shared" si="2"/>
        <v>288116.9355341461</v>
      </c>
      <c r="K69" s="146">
        <f t="shared" si="2"/>
        <v>520000</v>
      </c>
      <c r="L69" s="146">
        <f t="shared" si="2"/>
        <v>349406.7102967205</v>
      </c>
      <c r="M69" s="146">
        <f t="shared" si="2"/>
        <v>164064</v>
      </c>
      <c r="N69" s="146">
        <f t="shared" si="2"/>
        <v>27555.611166500497</v>
      </c>
      <c r="O69" s="146">
        <f>SUM(O9:O66)</f>
        <v>0</v>
      </c>
      <c r="P69" s="146">
        <f>SUM(P9:P66)</f>
        <v>0</v>
      </c>
      <c r="Q69" s="146">
        <f>SUM(Q9:Q66)</f>
        <v>0</v>
      </c>
      <c r="R69" s="146">
        <f>SUM(R9:R66)</f>
        <v>0</v>
      </c>
      <c r="S69" s="146">
        <f>SUM(S9:S68)</f>
        <v>6529.28970327957</v>
      </c>
    </row>
    <row r="70" spans="1:19" ht="19.5" customHeight="1" thickBot="1">
      <c r="A70" s="149"/>
      <c r="B70" s="149"/>
      <c r="C70" s="149"/>
      <c r="D70" s="149"/>
      <c r="E70" s="150"/>
      <c r="F70" s="151"/>
      <c r="G70" s="150"/>
      <c r="H70" s="151"/>
      <c r="I70" s="338"/>
      <c r="J70" s="151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1:19" s="154" customFormat="1" ht="47.25" customHeight="1">
      <c r="A71" s="153"/>
      <c r="B71" s="153"/>
      <c r="C71" s="153"/>
      <c r="D71" s="555" t="s">
        <v>60</v>
      </c>
      <c r="E71" s="557" t="s">
        <v>61</v>
      </c>
      <c r="F71" s="557"/>
      <c r="G71" s="443" t="s">
        <v>119</v>
      </c>
      <c r="H71" s="444" t="s">
        <v>62</v>
      </c>
      <c r="I71" s="442" t="s">
        <v>63</v>
      </c>
      <c r="J71" s="445" t="s">
        <v>441</v>
      </c>
      <c r="K71" s="451" t="s">
        <v>447</v>
      </c>
      <c r="L71" s="451" t="s">
        <v>424</v>
      </c>
      <c r="M71" s="446" t="s">
        <v>64</v>
      </c>
      <c r="N71" s="153"/>
      <c r="O71" s="153"/>
      <c r="P71" s="153"/>
      <c r="Q71" s="153"/>
      <c r="R71" s="153"/>
      <c r="S71" s="153"/>
    </row>
    <row r="72" spans="2:19" s="339" customFormat="1" ht="16.5" thickBot="1">
      <c r="B72" s="340"/>
      <c r="C72" s="340"/>
      <c r="D72" s="556"/>
      <c r="E72" s="558"/>
      <c r="F72" s="558"/>
      <c r="G72" s="448" t="s">
        <v>442</v>
      </c>
      <c r="H72" s="449" t="s">
        <v>443</v>
      </c>
      <c r="I72" s="447" t="s">
        <v>444</v>
      </c>
      <c r="J72" s="447" t="s">
        <v>445</v>
      </c>
      <c r="K72" s="450" t="s">
        <v>444</v>
      </c>
      <c r="L72" s="452" t="s">
        <v>445</v>
      </c>
      <c r="M72" s="450" t="s">
        <v>446</v>
      </c>
      <c r="N72" s="341"/>
      <c r="O72" s="342"/>
      <c r="P72" s="342"/>
      <c r="Q72" s="342"/>
      <c r="R72" s="342"/>
      <c r="S72" s="343"/>
    </row>
    <row r="73" spans="1:19" s="339" customFormat="1" ht="52.5" customHeight="1" thickBot="1">
      <c r="A73" s="153"/>
      <c r="B73" s="153"/>
      <c r="C73" s="153"/>
      <c r="D73" s="460" t="s">
        <v>46</v>
      </c>
      <c r="E73" s="461">
        <v>18.85</v>
      </c>
      <c r="F73" s="462">
        <v>1</v>
      </c>
      <c r="G73" s="463">
        <v>520000</v>
      </c>
      <c r="H73" s="464">
        <v>349407</v>
      </c>
      <c r="I73" s="463"/>
      <c r="J73" s="463"/>
      <c r="K73" s="463">
        <v>164064</v>
      </c>
      <c r="L73" s="463">
        <v>27556</v>
      </c>
      <c r="M73" s="465">
        <f>G73-H73-K73</f>
        <v>6529</v>
      </c>
      <c r="N73" s="153"/>
      <c r="O73" s="153"/>
      <c r="P73" s="153"/>
      <c r="Q73" s="153"/>
      <c r="R73" s="153"/>
      <c r="S73" s="153"/>
    </row>
    <row r="74" spans="1:19" s="339" customFormat="1" ht="15.75">
      <c r="A74" s="344"/>
      <c r="B74" s="345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5"/>
      <c r="P74" s="345"/>
      <c r="Q74" s="345"/>
      <c r="R74" s="345"/>
      <c r="S74" s="344"/>
    </row>
    <row r="75" spans="1:19" s="154" customFormat="1" ht="30" customHeight="1">
      <c r="A75" s="574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</row>
    <row r="78" spans="10:19" ht="15.75">
      <c r="J78" s="347"/>
      <c r="S78" s="348"/>
    </row>
  </sheetData>
  <sheetProtection/>
  <mergeCells count="16">
    <mergeCell ref="A1:S1"/>
    <mergeCell ref="A2:S2"/>
    <mergeCell ref="D4:D7"/>
    <mergeCell ref="E4:F6"/>
    <mergeCell ref="K4:K7"/>
    <mergeCell ref="G5:H5"/>
    <mergeCell ref="M4:M7"/>
    <mergeCell ref="N4:N7"/>
    <mergeCell ref="A75:S75"/>
    <mergeCell ref="B9:B15"/>
    <mergeCell ref="Q9:Q43"/>
    <mergeCell ref="R9:R43"/>
    <mergeCell ref="Q44:Q52"/>
    <mergeCell ref="R44:R52"/>
    <mergeCell ref="D71:D72"/>
    <mergeCell ref="E71:F72"/>
  </mergeCells>
  <printOptions horizontalCentered="1"/>
  <pageMargins left="1" right="0.5" top="0.75" bottom="0.5" header="0.5" footer="0.5"/>
  <pageSetup fitToHeight="0" fitToWidth="1" horizontalDpi="600" verticalDpi="600" orientation="landscape" paperSize="5" scale="52" r:id="rId1"/>
  <headerFooter alignWithMargins="0">
    <oddFooter>&amp;L&amp;8&amp;Z&amp;F&amp;D</oddFooter>
  </headerFooter>
  <rowBreaks count="1" manualBreakCount="1">
    <brk id="4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65"/>
  <sheetViews>
    <sheetView view="pageBreakPreview" zoomScale="70" zoomScaleNormal="85" zoomScaleSheetLayoutView="70" zoomScalePageLayoutView="0" workbookViewId="0" topLeftCell="A40">
      <selection activeCell="K58" sqref="K58"/>
    </sheetView>
  </sheetViews>
  <sheetFormatPr defaultColWidth="9.140625" defaultRowHeight="12.75"/>
  <cols>
    <col min="1" max="1" width="35.28125" style="0" customWidth="1"/>
    <col min="2" max="2" width="15.7109375" style="0" customWidth="1"/>
    <col min="3" max="3" width="18.140625" style="0" bestFit="1" customWidth="1"/>
    <col min="4" max="4" width="17.140625" style="0" customWidth="1"/>
    <col min="5" max="5" width="15.7109375" style="0" customWidth="1"/>
    <col min="6" max="6" width="14.140625" style="0" bestFit="1" customWidth="1"/>
    <col min="7" max="7" width="12.8515625" style="0" bestFit="1" customWidth="1"/>
    <col min="8" max="8" width="14.140625" style="0" bestFit="1" customWidth="1"/>
    <col min="9" max="9" width="14.8515625" style="0" hidden="1" customWidth="1"/>
    <col min="10" max="10" width="0.5625" style="0" hidden="1" customWidth="1"/>
    <col min="11" max="11" width="14.140625" style="0" bestFit="1" customWidth="1"/>
    <col min="12" max="12" width="14.140625" style="0" customWidth="1"/>
    <col min="13" max="13" width="14.140625" style="0" bestFit="1" customWidth="1"/>
    <col min="14" max="15" width="14.140625" style="0" customWidth="1"/>
    <col min="16" max="16" width="117.8515625" style="0" customWidth="1"/>
    <col min="17" max="17" width="14.140625" style="0" hidden="1" customWidth="1"/>
    <col min="18" max="18" width="18.7109375" style="0" hidden="1" customWidth="1"/>
    <col min="19" max="19" width="24.00390625" style="0" hidden="1" customWidth="1"/>
    <col min="20" max="20" width="15.00390625" style="0" bestFit="1" customWidth="1"/>
    <col min="21" max="21" width="22.28125" style="0" hidden="1" customWidth="1"/>
    <col min="22" max="22" width="24.00390625" style="0" hidden="1" customWidth="1"/>
  </cols>
  <sheetData>
    <row r="1" spans="1:22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85"/>
      <c r="V1" s="85"/>
    </row>
    <row r="2" spans="1:22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86"/>
      <c r="V2" s="86"/>
    </row>
    <row r="3" spans="1:2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349"/>
      <c r="J4" s="321"/>
      <c r="K4" s="539" t="s">
        <v>86</v>
      </c>
      <c r="L4" s="596"/>
      <c r="M4" s="88"/>
      <c r="N4" s="552" t="s">
        <v>63</v>
      </c>
      <c r="O4" s="552" t="s">
        <v>424</v>
      </c>
      <c r="P4" s="88"/>
      <c r="Q4" s="88"/>
      <c r="R4" s="88"/>
      <c r="S4" s="88"/>
      <c r="T4" s="88"/>
      <c r="U4" s="565" t="s">
        <v>126</v>
      </c>
      <c r="V4" s="565" t="s">
        <v>127</v>
      </c>
    </row>
    <row r="5" spans="1:22" ht="15.75" customHeight="1" thickBot="1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350"/>
      <c r="J5" s="214"/>
      <c r="K5" s="597"/>
      <c r="L5" s="598"/>
      <c r="M5" s="92" t="s">
        <v>41</v>
      </c>
      <c r="N5" s="553"/>
      <c r="O5" s="553"/>
      <c r="P5" s="92"/>
      <c r="Q5" s="92"/>
      <c r="R5" s="92" t="s">
        <v>31</v>
      </c>
      <c r="S5" s="92" t="s">
        <v>34</v>
      </c>
      <c r="T5" s="92" t="s">
        <v>29</v>
      </c>
      <c r="U5" s="566"/>
      <c r="V5" s="566"/>
    </row>
    <row r="6" spans="1:22" ht="16.5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93"/>
      <c r="H6" s="94"/>
      <c r="I6" s="350"/>
      <c r="J6" s="214"/>
      <c r="K6" s="161" t="s">
        <v>138</v>
      </c>
      <c r="L6" s="161" t="s">
        <v>46</v>
      </c>
      <c r="M6" s="95" t="s">
        <v>28</v>
      </c>
      <c r="N6" s="553"/>
      <c r="O6" s="553"/>
      <c r="P6" s="92" t="s">
        <v>42</v>
      </c>
      <c r="Q6" s="92" t="s">
        <v>30</v>
      </c>
      <c r="R6" s="92" t="s">
        <v>32</v>
      </c>
      <c r="S6" s="92" t="s">
        <v>35</v>
      </c>
      <c r="T6" s="92" t="s">
        <v>16</v>
      </c>
      <c r="U6" s="566"/>
      <c r="V6" s="566"/>
    </row>
    <row r="7" spans="1:22" ht="33.75" customHeight="1" thickBot="1">
      <c r="A7" s="91" t="s">
        <v>27</v>
      </c>
      <c r="B7" s="92" t="s">
        <v>23</v>
      </c>
      <c r="C7" s="92" t="s">
        <v>19</v>
      </c>
      <c r="D7" s="538"/>
      <c r="E7" s="98" t="s">
        <v>87</v>
      </c>
      <c r="F7" s="99" t="s">
        <v>44</v>
      </c>
      <c r="G7" s="281" t="s">
        <v>2</v>
      </c>
      <c r="H7" s="282" t="s">
        <v>0</v>
      </c>
      <c r="I7" s="350"/>
      <c r="J7" s="214"/>
      <c r="K7" s="166">
        <v>0.7423</v>
      </c>
      <c r="L7" s="166">
        <v>0.2577</v>
      </c>
      <c r="M7" s="322" t="s">
        <v>0</v>
      </c>
      <c r="N7" s="554"/>
      <c r="O7" s="554"/>
      <c r="P7" s="92"/>
      <c r="Q7" s="92" t="s">
        <v>37</v>
      </c>
      <c r="R7" s="219" t="s">
        <v>33</v>
      </c>
      <c r="S7" s="219" t="s">
        <v>36</v>
      </c>
      <c r="T7" s="92"/>
      <c r="U7" s="566"/>
      <c r="V7" s="566"/>
    </row>
    <row r="8" spans="1:22" s="323" customFormat="1" ht="15" customHeight="1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6">
        <v>4</v>
      </c>
      <c r="J8" s="106">
        <v>5</v>
      </c>
      <c r="K8" s="106">
        <v>8</v>
      </c>
      <c r="L8" s="106"/>
      <c r="M8" s="106">
        <v>9</v>
      </c>
      <c r="N8" s="106"/>
      <c r="O8" s="106"/>
      <c r="P8" s="105" t="s">
        <v>88</v>
      </c>
      <c r="Q8" s="105"/>
      <c r="R8" s="107">
        <v>12</v>
      </c>
      <c r="S8" s="283">
        <v>13</v>
      </c>
      <c r="T8" s="105">
        <v>14</v>
      </c>
      <c r="U8" s="283">
        <v>15</v>
      </c>
      <c r="V8" s="351">
        <v>16</v>
      </c>
    </row>
    <row r="9" spans="1:22" s="13" customFormat="1" ht="19.5" customHeight="1" thickBot="1">
      <c r="A9" s="352" t="s">
        <v>392</v>
      </c>
      <c r="B9" s="590" t="s">
        <v>393</v>
      </c>
      <c r="C9" s="127">
        <v>0</v>
      </c>
      <c r="D9" s="127" t="s">
        <v>138</v>
      </c>
      <c r="E9" s="353">
        <f>21.34*F9</f>
        <v>15.840682</v>
      </c>
      <c r="F9" s="354">
        <v>0.7423</v>
      </c>
      <c r="G9" s="226">
        <v>1995</v>
      </c>
      <c r="H9" s="127">
        <v>0</v>
      </c>
      <c r="I9" s="228"/>
      <c r="J9" s="228"/>
      <c r="K9" s="127">
        <f aca="true" t="shared" si="0" ref="K9:K43">+H9*K$7</f>
        <v>0</v>
      </c>
      <c r="L9" s="127">
        <f aca="true" t="shared" si="1" ref="L9:L50">+H9*L$7</f>
        <v>0</v>
      </c>
      <c r="M9" s="127">
        <v>0</v>
      </c>
      <c r="N9" s="127"/>
      <c r="O9" s="127"/>
      <c r="P9" s="128"/>
      <c r="Q9" s="128"/>
      <c r="R9" s="575" t="s">
        <v>208</v>
      </c>
      <c r="S9" s="575" t="s">
        <v>394</v>
      </c>
      <c r="T9" s="127"/>
      <c r="U9" s="575" t="s">
        <v>130</v>
      </c>
      <c r="V9" s="575" t="s">
        <v>131</v>
      </c>
    </row>
    <row r="10" spans="1:22" s="14" customFormat="1" ht="19.5" customHeight="1" thickBot="1">
      <c r="A10" s="352" t="s">
        <v>395</v>
      </c>
      <c r="B10" s="581"/>
      <c r="C10" s="241">
        <v>20000</v>
      </c>
      <c r="D10" s="127" t="s">
        <v>46</v>
      </c>
      <c r="E10" s="353">
        <f>21.34*F10</f>
        <v>5.499318</v>
      </c>
      <c r="F10" s="354">
        <v>0.2577</v>
      </c>
      <c r="G10" s="28">
        <v>1996</v>
      </c>
      <c r="H10" s="112">
        <v>20000</v>
      </c>
      <c r="I10" s="300"/>
      <c r="J10" s="300"/>
      <c r="K10" s="127">
        <f t="shared" si="0"/>
        <v>14846</v>
      </c>
      <c r="L10" s="127">
        <f t="shared" si="1"/>
        <v>5154</v>
      </c>
      <c r="M10" s="112">
        <v>0</v>
      </c>
      <c r="N10" s="112"/>
      <c r="O10" s="112"/>
      <c r="P10" s="116"/>
      <c r="Q10" s="116"/>
      <c r="R10" s="576"/>
      <c r="S10" s="576"/>
      <c r="T10" s="112">
        <f>+K10-M10-N10</f>
        <v>14846</v>
      </c>
      <c r="U10" s="576"/>
      <c r="V10" s="576"/>
    </row>
    <row r="11" spans="1:22" s="14" customFormat="1" ht="19.5" customHeight="1" thickBot="1">
      <c r="A11" s="225" t="s">
        <v>142</v>
      </c>
      <c r="B11" s="581"/>
      <c r="C11" s="241">
        <v>20000</v>
      </c>
      <c r="D11" s="241"/>
      <c r="E11" s="28"/>
      <c r="F11" s="112"/>
      <c r="G11" s="28">
        <v>1997</v>
      </c>
      <c r="H11" s="112">
        <v>20000</v>
      </c>
      <c r="I11" s="300"/>
      <c r="J11" s="300"/>
      <c r="K11" s="127">
        <f t="shared" si="0"/>
        <v>14846</v>
      </c>
      <c r="L11" s="127">
        <f t="shared" si="1"/>
        <v>5154</v>
      </c>
      <c r="M11" s="112">
        <v>0</v>
      </c>
      <c r="N11" s="112"/>
      <c r="O11" s="112"/>
      <c r="P11" s="116"/>
      <c r="Q11" s="116"/>
      <c r="R11" s="576"/>
      <c r="S11" s="576"/>
      <c r="T11" s="112">
        <f aca="true" t="shared" si="2" ref="T11:T48">+K11-M11-N11</f>
        <v>14846</v>
      </c>
      <c r="U11" s="576"/>
      <c r="V11" s="576"/>
    </row>
    <row r="12" spans="1:22" s="14" customFormat="1" ht="19.5" customHeight="1" thickBot="1">
      <c r="A12" s="120"/>
      <c r="B12" s="581"/>
      <c r="C12" s="241">
        <v>20000</v>
      </c>
      <c r="D12" s="241"/>
      <c r="E12" s="28"/>
      <c r="F12" s="112"/>
      <c r="G12" s="28">
        <v>1998</v>
      </c>
      <c r="H12" s="112">
        <v>20000</v>
      </c>
      <c r="I12" s="300"/>
      <c r="J12" s="300"/>
      <c r="K12" s="127">
        <f t="shared" si="0"/>
        <v>14846</v>
      </c>
      <c r="L12" s="127">
        <f t="shared" si="1"/>
        <v>5154</v>
      </c>
      <c r="M12" s="112">
        <v>0</v>
      </c>
      <c r="N12" s="112"/>
      <c r="O12" s="112"/>
      <c r="P12" s="116"/>
      <c r="Q12" s="116"/>
      <c r="R12" s="576"/>
      <c r="S12" s="576"/>
      <c r="T12" s="112">
        <f t="shared" si="2"/>
        <v>14846</v>
      </c>
      <c r="U12" s="576"/>
      <c r="V12" s="576"/>
    </row>
    <row r="13" spans="1:22" s="14" customFormat="1" ht="19.5" customHeight="1" thickBot="1">
      <c r="A13" s="120"/>
      <c r="B13" s="581"/>
      <c r="C13" s="241">
        <v>20000</v>
      </c>
      <c r="D13" s="241"/>
      <c r="E13" s="28"/>
      <c r="F13" s="241"/>
      <c r="G13" s="28">
        <v>1999</v>
      </c>
      <c r="H13" s="241">
        <v>20000</v>
      </c>
      <c r="I13" s="300"/>
      <c r="J13" s="300"/>
      <c r="K13" s="127">
        <f t="shared" si="0"/>
        <v>14846</v>
      </c>
      <c r="L13" s="127">
        <f t="shared" si="1"/>
        <v>5154</v>
      </c>
      <c r="M13" s="112">
        <v>0</v>
      </c>
      <c r="N13" s="112"/>
      <c r="O13" s="112"/>
      <c r="P13" s="116"/>
      <c r="Q13" s="116"/>
      <c r="R13" s="576"/>
      <c r="S13" s="576"/>
      <c r="T13" s="112">
        <f t="shared" si="2"/>
        <v>14846</v>
      </c>
      <c r="U13" s="576"/>
      <c r="V13" s="576"/>
    </row>
    <row r="14" spans="1:22" s="14" customFormat="1" ht="19.5" customHeight="1" thickBot="1">
      <c r="A14" s="296"/>
      <c r="B14" s="581"/>
      <c r="C14" s="112">
        <v>20000</v>
      </c>
      <c r="D14" s="112"/>
      <c r="E14" s="28"/>
      <c r="F14" s="241"/>
      <c r="G14" s="28">
        <v>2000</v>
      </c>
      <c r="H14" s="241">
        <v>20000</v>
      </c>
      <c r="I14" s="300"/>
      <c r="J14" s="300"/>
      <c r="K14" s="127">
        <f t="shared" si="0"/>
        <v>14846</v>
      </c>
      <c r="L14" s="127">
        <f t="shared" si="1"/>
        <v>5154</v>
      </c>
      <c r="M14" s="112">
        <v>0</v>
      </c>
      <c r="N14" s="112"/>
      <c r="O14" s="112"/>
      <c r="P14" s="116"/>
      <c r="Q14" s="116"/>
      <c r="R14" s="576"/>
      <c r="S14" s="576"/>
      <c r="T14" s="112">
        <f t="shared" si="2"/>
        <v>14846</v>
      </c>
      <c r="U14" s="576"/>
      <c r="V14" s="576"/>
    </row>
    <row r="15" spans="1:22" ht="19.5" customHeight="1" thickBot="1">
      <c r="A15" s="296"/>
      <c r="B15" s="581"/>
      <c r="C15" s="233">
        <v>20000</v>
      </c>
      <c r="D15" s="233"/>
      <c r="E15" s="123"/>
      <c r="F15" s="233"/>
      <c r="G15" s="123">
        <v>2001</v>
      </c>
      <c r="H15" s="233">
        <v>20000</v>
      </c>
      <c r="I15" s="302">
        <v>2001</v>
      </c>
      <c r="J15" s="355">
        <v>61357.10499686792</v>
      </c>
      <c r="K15" s="127">
        <f t="shared" si="0"/>
        <v>14846</v>
      </c>
      <c r="L15" s="127">
        <f t="shared" si="1"/>
        <v>5154</v>
      </c>
      <c r="M15" s="249">
        <v>61357.10499686792</v>
      </c>
      <c r="N15" s="249"/>
      <c r="O15" s="249"/>
      <c r="P15" s="356" t="s">
        <v>396</v>
      </c>
      <c r="Q15" s="250"/>
      <c r="R15" s="576"/>
      <c r="S15" s="576"/>
      <c r="T15" s="112">
        <f t="shared" si="2"/>
        <v>-46511.10499686792</v>
      </c>
      <c r="U15" s="576"/>
      <c r="V15" s="576"/>
    </row>
    <row r="16" spans="1:22" ht="19.5" customHeight="1" thickBot="1">
      <c r="A16" s="296"/>
      <c r="B16" s="581"/>
      <c r="C16" s="118"/>
      <c r="D16" s="118"/>
      <c r="E16" s="123"/>
      <c r="F16" s="123"/>
      <c r="G16" s="123"/>
      <c r="H16" s="123"/>
      <c r="I16" s="357">
        <f>+I15</f>
        <v>2001</v>
      </c>
      <c r="J16" s="358">
        <v>18054.527056329207</v>
      </c>
      <c r="K16" s="127">
        <f t="shared" si="0"/>
        <v>0</v>
      </c>
      <c r="L16" s="127">
        <f t="shared" si="1"/>
        <v>0</v>
      </c>
      <c r="M16" s="118">
        <v>18054.527056329207</v>
      </c>
      <c r="N16" s="118"/>
      <c r="O16" s="118"/>
      <c r="P16" s="126" t="s">
        <v>397</v>
      </c>
      <c r="Q16" s="250"/>
      <c r="R16" s="576"/>
      <c r="S16" s="576"/>
      <c r="T16" s="112">
        <f t="shared" si="2"/>
        <v>-18054.527056329207</v>
      </c>
      <c r="U16" s="576"/>
      <c r="V16" s="576"/>
    </row>
    <row r="17" spans="1:22" s="13" customFormat="1" ht="19.5" customHeight="1" thickBot="1">
      <c r="A17" s="296"/>
      <c r="B17" s="581"/>
      <c r="C17" s="127"/>
      <c r="D17" s="127"/>
      <c r="E17" s="226"/>
      <c r="F17" s="226"/>
      <c r="G17" s="226"/>
      <c r="H17" s="226"/>
      <c r="I17" s="228">
        <f aca="true" t="shared" si="3" ref="I17:I25">+I16</f>
        <v>2001</v>
      </c>
      <c r="J17" s="359">
        <v>4250.453867440574</v>
      </c>
      <c r="K17" s="127">
        <f t="shared" si="0"/>
        <v>0</v>
      </c>
      <c r="L17" s="127">
        <f t="shared" si="1"/>
        <v>0</v>
      </c>
      <c r="M17" s="261">
        <v>4250.453867440574</v>
      </c>
      <c r="N17" s="261"/>
      <c r="O17" s="261"/>
      <c r="P17" s="360" t="s">
        <v>398</v>
      </c>
      <c r="Q17" s="266"/>
      <c r="R17" s="576"/>
      <c r="S17" s="576"/>
      <c r="T17" s="112">
        <f t="shared" si="2"/>
        <v>-4250.453867440574</v>
      </c>
      <c r="U17" s="576"/>
      <c r="V17" s="576"/>
    </row>
    <row r="18" spans="1:22" ht="19.5" customHeight="1" thickBot="1">
      <c r="A18" s="296"/>
      <c r="B18" s="581"/>
      <c r="C18" s="233">
        <v>20000</v>
      </c>
      <c r="D18" s="233"/>
      <c r="E18" s="123"/>
      <c r="F18" s="233"/>
      <c r="G18" s="123">
        <v>2002</v>
      </c>
      <c r="H18" s="233">
        <v>20000</v>
      </c>
      <c r="I18" s="302">
        <v>2002</v>
      </c>
      <c r="J18" s="355">
        <v>3517.2721569806017</v>
      </c>
      <c r="K18" s="127">
        <f t="shared" si="0"/>
        <v>14846</v>
      </c>
      <c r="L18" s="127">
        <f t="shared" si="1"/>
        <v>5154</v>
      </c>
      <c r="M18" s="249">
        <v>3517.2721569806017</v>
      </c>
      <c r="N18" s="249"/>
      <c r="O18" s="249"/>
      <c r="P18" s="356" t="s">
        <v>396</v>
      </c>
      <c r="Q18" s="250"/>
      <c r="R18" s="576"/>
      <c r="S18" s="576"/>
      <c r="T18" s="112">
        <f t="shared" si="2"/>
        <v>11328.727843019398</v>
      </c>
      <c r="U18" s="576"/>
      <c r="V18" s="576"/>
    </row>
    <row r="19" spans="1:22" ht="19.5" customHeight="1" thickBot="1">
      <c r="A19" s="296"/>
      <c r="B19" s="581"/>
      <c r="C19" s="118"/>
      <c r="D19" s="118"/>
      <c r="E19" s="123"/>
      <c r="F19" s="123"/>
      <c r="G19" s="123"/>
      <c r="H19" s="123"/>
      <c r="I19" s="302">
        <f t="shared" si="3"/>
        <v>2002</v>
      </c>
      <c r="J19" s="355">
        <v>8044.649347287084</v>
      </c>
      <c r="K19" s="127">
        <f t="shared" si="0"/>
        <v>0</v>
      </c>
      <c r="L19" s="127">
        <f t="shared" si="1"/>
        <v>0</v>
      </c>
      <c r="M19" s="118">
        <v>8044.649347287084</v>
      </c>
      <c r="N19" s="118"/>
      <c r="O19" s="118"/>
      <c r="P19" s="126" t="s">
        <v>397</v>
      </c>
      <c r="Q19" s="250"/>
      <c r="R19" s="576"/>
      <c r="S19" s="576"/>
      <c r="T19" s="112">
        <f t="shared" si="2"/>
        <v>-8044.649347287084</v>
      </c>
      <c r="U19" s="576"/>
      <c r="V19" s="576"/>
    </row>
    <row r="20" spans="1:22" s="13" customFormat="1" ht="19.5" customHeight="1" thickBot="1">
      <c r="A20" s="296"/>
      <c r="B20" s="581"/>
      <c r="C20" s="327"/>
      <c r="D20" s="327"/>
      <c r="E20" s="239"/>
      <c r="F20" s="239"/>
      <c r="G20" s="239"/>
      <c r="H20" s="239"/>
      <c r="I20" s="228">
        <f t="shared" si="3"/>
        <v>2002</v>
      </c>
      <c r="J20" s="359">
        <v>3592.3490332643246</v>
      </c>
      <c r="K20" s="127">
        <f t="shared" si="0"/>
        <v>0</v>
      </c>
      <c r="L20" s="127">
        <f t="shared" si="1"/>
        <v>0</v>
      </c>
      <c r="M20" s="261">
        <v>3592.3490332643246</v>
      </c>
      <c r="N20" s="261"/>
      <c r="O20" s="261"/>
      <c r="P20" s="360" t="s">
        <v>398</v>
      </c>
      <c r="Q20" s="266"/>
      <c r="R20" s="576"/>
      <c r="S20" s="576"/>
      <c r="T20" s="112">
        <f t="shared" si="2"/>
        <v>-3592.3490332643246</v>
      </c>
      <c r="U20" s="576"/>
      <c r="V20" s="576"/>
    </row>
    <row r="21" spans="1:22" ht="19.5" customHeight="1" thickBot="1">
      <c r="A21" s="296"/>
      <c r="B21" s="581"/>
      <c r="C21" s="233">
        <v>20000</v>
      </c>
      <c r="D21" s="233"/>
      <c r="E21" s="123"/>
      <c r="F21" s="233"/>
      <c r="G21" s="123">
        <v>2003</v>
      </c>
      <c r="H21" s="233">
        <v>20000</v>
      </c>
      <c r="I21" s="302">
        <v>2003</v>
      </c>
      <c r="J21" s="361">
        <v>96.15306278554209</v>
      </c>
      <c r="K21" s="127">
        <f t="shared" si="0"/>
        <v>14846</v>
      </c>
      <c r="L21" s="127">
        <f t="shared" si="1"/>
        <v>5154</v>
      </c>
      <c r="M21" s="362">
        <v>96.15306278554209</v>
      </c>
      <c r="N21" s="362"/>
      <c r="O21" s="362"/>
      <c r="P21" s="363" t="s">
        <v>399</v>
      </c>
      <c r="Q21" s="250"/>
      <c r="R21" s="576"/>
      <c r="S21" s="576"/>
      <c r="T21" s="112">
        <f t="shared" si="2"/>
        <v>14749.846937214457</v>
      </c>
      <c r="U21" s="576"/>
      <c r="V21" s="576"/>
    </row>
    <row r="22" spans="1:22" ht="19.5" customHeight="1" thickBot="1">
      <c r="A22" s="296"/>
      <c r="B22" s="236"/>
      <c r="C22" s="233"/>
      <c r="D22" s="233"/>
      <c r="E22" s="236"/>
      <c r="F22" s="236"/>
      <c r="G22" s="236"/>
      <c r="H22" s="236"/>
      <c r="I22" s="302">
        <f t="shared" si="3"/>
        <v>2003</v>
      </c>
      <c r="J22" s="361">
        <v>7110.378563257395</v>
      </c>
      <c r="K22" s="127">
        <f t="shared" si="0"/>
        <v>0</v>
      </c>
      <c r="L22" s="127">
        <f t="shared" si="1"/>
        <v>0</v>
      </c>
      <c r="M22" s="233">
        <v>7110.378563257395</v>
      </c>
      <c r="N22" s="233"/>
      <c r="O22" s="233"/>
      <c r="P22" s="126" t="s">
        <v>400</v>
      </c>
      <c r="Q22" s="250"/>
      <c r="R22" s="576"/>
      <c r="S22" s="576"/>
      <c r="T22" s="112">
        <f t="shared" si="2"/>
        <v>-7110.378563257395</v>
      </c>
      <c r="U22" s="576"/>
      <c r="V22" s="576"/>
    </row>
    <row r="23" spans="1:22" ht="19.5" customHeight="1" thickBot="1">
      <c r="A23" s="296"/>
      <c r="B23" s="236"/>
      <c r="C23" s="233"/>
      <c r="D23" s="233"/>
      <c r="E23" s="236"/>
      <c r="F23" s="236"/>
      <c r="G23" s="236"/>
      <c r="H23" s="236"/>
      <c r="I23" s="302">
        <f t="shared" si="3"/>
        <v>2003</v>
      </c>
      <c r="J23" s="361">
        <v>3989.821442037252</v>
      </c>
      <c r="K23" s="127">
        <f t="shared" si="0"/>
        <v>0</v>
      </c>
      <c r="L23" s="127">
        <f t="shared" si="1"/>
        <v>0</v>
      </c>
      <c r="M23" s="233">
        <v>3989.821442037252</v>
      </c>
      <c r="N23" s="233"/>
      <c r="O23" s="233"/>
      <c r="P23" s="126" t="s">
        <v>401</v>
      </c>
      <c r="Q23" s="250"/>
      <c r="R23" s="576"/>
      <c r="S23" s="576"/>
      <c r="T23" s="112">
        <f t="shared" si="2"/>
        <v>-3989.821442037252</v>
      </c>
      <c r="U23" s="576"/>
      <c r="V23" s="576"/>
    </row>
    <row r="24" spans="1:22" ht="19.5" customHeight="1" thickBot="1">
      <c r="A24" s="296"/>
      <c r="B24" s="236"/>
      <c r="C24" s="233"/>
      <c r="D24" s="233"/>
      <c r="E24" s="236"/>
      <c r="F24" s="236"/>
      <c r="G24" s="236"/>
      <c r="H24" s="236"/>
      <c r="I24" s="302">
        <f t="shared" si="3"/>
        <v>2003</v>
      </c>
      <c r="J24" s="361">
        <v>3616.0033115611027</v>
      </c>
      <c r="K24" s="127">
        <f t="shared" si="0"/>
        <v>0</v>
      </c>
      <c r="L24" s="127">
        <f t="shared" si="1"/>
        <v>0</v>
      </c>
      <c r="M24" s="233">
        <v>3616.0033115611027</v>
      </c>
      <c r="N24" s="233"/>
      <c r="O24" s="233"/>
      <c r="P24" s="126" t="s">
        <v>402</v>
      </c>
      <c r="Q24" s="250"/>
      <c r="R24" s="576"/>
      <c r="S24" s="576"/>
      <c r="T24" s="112">
        <f t="shared" si="2"/>
        <v>-3616.0033115611027</v>
      </c>
      <c r="U24" s="576"/>
      <c r="V24" s="576"/>
    </row>
    <row r="25" spans="1:22" s="13" customFormat="1" ht="19.5" customHeight="1" thickBot="1">
      <c r="A25" s="120"/>
      <c r="B25" s="123"/>
      <c r="C25" s="127"/>
      <c r="D25" s="127"/>
      <c r="E25" s="226"/>
      <c r="F25" s="226"/>
      <c r="G25" s="226"/>
      <c r="H25" s="226"/>
      <c r="I25" s="228">
        <f t="shared" si="3"/>
        <v>2003</v>
      </c>
      <c r="J25" s="359">
        <v>1604.438518718182</v>
      </c>
      <c r="K25" s="127">
        <f t="shared" si="0"/>
        <v>0</v>
      </c>
      <c r="L25" s="127">
        <f t="shared" si="1"/>
        <v>0</v>
      </c>
      <c r="M25" s="261">
        <v>1604.438518718182</v>
      </c>
      <c r="N25" s="261"/>
      <c r="O25" s="261"/>
      <c r="P25" s="360" t="s">
        <v>403</v>
      </c>
      <c r="Q25" s="266"/>
      <c r="R25" s="576"/>
      <c r="S25" s="576"/>
      <c r="T25" s="112">
        <f t="shared" si="2"/>
        <v>-1604.438518718182</v>
      </c>
      <c r="U25" s="576"/>
      <c r="V25" s="576"/>
    </row>
    <row r="26" spans="1:22" s="14" customFormat="1" ht="19.5" customHeight="1" thickBot="1">
      <c r="A26" s="120"/>
      <c r="B26" s="123"/>
      <c r="C26" s="112">
        <v>20000</v>
      </c>
      <c r="D26" s="112"/>
      <c r="E26" s="28"/>
      <c r="F26" s="112"/>
      <c r="G26" s="28">
        <v>2004</v>
      </c>
      <c r="H26" s="112">
        <v>20000</v>
      </c>
      <c r="I26" s="300">
        <v>2004</v>
      </c>
      <c r="J26" s="364">
        <v>0</v>
      </c>
      <c r="K26" s="127">
        <f t="shared" si="0"/>
        <v>14846</v>
      </c>
      <c r="L26" s="127">
        <f t="shared" si="1"/>
        <v>5154</v>
      </c>
      <c r="M26" s="112">
        <f>+J26</f>
        <v>0</v>
      </c>
      <c r="N26" s="112"/>
      <c r="O26" s="112"/>
      <c r="P26" s="231"/>
      <c r="Q26" s="231"/>
      <c r="R26" s="576"/>
      <c r="S26" s="576"/>
      <c r="T26" s="112">
        <f t="shared" si="2"/>
        <v>14846</v>
      </c>
      <c r="U26" s="576"/>
      <c r="V26" s="576"/>
    </row>
    <row r="27" spans="1:22" s="14" customFormat="1" ht="19.5" customHeight="1" thickBot="1">
      <c r="A27" s="120"/>
      <c r="B27" s="123"/>
      <c r="C27" s="112">
        <v>20000</v>
      </c>
      <c r="D27" s="112"/>
      <c r="E27" s="28"/>
      <c r="F27" s="112"/>
      <c r="G27" s="28">
        <v>2005</v>
      </c>
      <c r="H27" s="112">
        <v>20000</v>
      </c>
      <c r="I27" s="300">
        <v>2005</v>
      </c>
      <c r="J27" s="364">
        <v>5735.426961437789</v>
      </c>
      <c r="K27" s="127">
        <f t="shared" si="0"/>
        <v>14846</v>
      </c>
      <c r="L27" s="127">
        <f t="shared" si="1"/>
        <v>5154</v>
      </c>
      <c r="M27" s="112">
        <f>+J27</f>
        <v>5735.426961437789</v>
      </c>
      <c r="N27" s="112"/>
      <c r="O27" s="112"/>
      <c r="P27" s="231" t="s">
        <v>404</v>
      </c>
      <c r="Q27" s="231"/>
      <c r="R27" s="576"/>
      <c r="S27" s="576"/>
      <c r="T27" s="112">
        <f t="shared" si="2"/>
        <v>9110.573038562212</v>
      </c>
      <c r="U27" s="576"/>
      <c r="V27" s="576"/>
    </row>
    <row r="28" spans="1:22" s="14" customFormat="1" ht="19.5" customHeight="1" thickBot="1">
      <c r="A28" s="120"/>
      <c r="B28" s="123"/>
      <c r="C28" s="112">
        <v>20000</v>
      </c>
      <c r="D28" s="112"/>
      <c r="E28" s="28"/>
      <c r="F28" s="112"/>
      <c r="G28" s="28">
        <v>2006</v>
      </c>
      <c r="H28" s="112">
        <v>20000</v>
      </c>
      <c r="I28" s="300">
        <v>2006</v>
      </c>
      <c r="J28" s="364">
        <v>0</v>
      </c>
      <c r="K28" s="127">
        <f t="shared" si="0"/>
        <v>14846</v>
      </c>
      <c r="L28" s="127">
        <f t="shared" si="1"/>
        <v>5154</v>
      </c>
      <c r="M28" s="112">
        <f>+J28</f>
        <v>0</v>
      </c>
      <c r="N28" s="112"/>
      <c r="O28" s="112"/>
      <c r="P28" s="231"/>
      <c r="Q28" s="231"/>
      <c r="R28" s="576"/>
      <c r="S28" s="576"/>
      <c r="T28" s="112">
        <f t="shared" si="2"/>
        <v>14846</v>
      </c>
      <c r="U28" s="576"/>
      <c r="V28" s="576"/>
    </row>
    <row r="29" spans="1:22" s="14" customFormat="1" ht="19.5" customHeight="1" thickBot="1">
      <c r="A29" s="120"/>
      <c r="B29" s="123"/>
      <c r="C29" s="112">
        <v>20000</v>
      </c>
      <c r="D29" s="112"/>
      <c r="E29" s="28"/>
      <c r="F29" s="112"/>
      <c r="G29" s="28">
        <v>2007</v>
      </c>
      <c r="H29" s="112">
        <v>20000</v>
      </c>
      <c r="I29" s="300">
        <v>2007</v>
      </c>
      <c r="J29" s="364">
        <v>0</v>
      </c>
      <c r="K29" s="127">
        <f t="shared" si="0"/>
        <v>14846</v>
      </c>
      <c r="L29" s="127">
        <f t="shared" si="1"/>
        <v>5154</v>
      </c>
      <c r="M29" s="112">
        <f>+J29</f>
        <v>0</v>
      </c>
      <c r="N29" s="112"/>
      <c r="O29" s="112"/>
      <c r="P29" s="231"/>
      <c r="Q29" s="231"/>
      <c r="R29" s="576"/>
      <c r="S29" s="576"/>
      <c r="T29" s="112">
        <f t="shared" si="2"/>
        <v>14846</v>
      </c>
      <c r="U29" s="576"/>
      <c r="V29" s="576"/>
    </row>
    <row r="30" spans="1:22" ht="19.5" customHeight="1" thickBot="1">
      <c r="A30" s="120"/>
      <c r="B30" s="123"/>
      <c r="C30" s="233">
        <v>20000</v>
      </c>
      <c r="D30" s="233"/>
      <c r="E30" s="123"/>
      <c r="F30" s="233"/>
      <c r="G30" s="123">
        <v>2008</v>
      </c>
      <c r="H30" s="233">
        <v>20000</v>
      </c>
      <c r="I30" s="302">
        <v>2008</v>
      </c>
      <c r="J30" s="355">
        <v>4492.5755265551215</v>
      </c>
      <c r="K30" s="127">
        <f t="shared" si="0"/>
        <v>14846</v>
      </c>
      <c r="L30" s="127">
        <f t="shared" si="1"/>
        <v>5154</v>
      </c>
      <c r="M30" s="118">
        <v>4492.5755265551215</v>
      </c>
      <c r="N30" s="118"/>
      <c r="O30" s="118"/>
      <c r="P30" s="238" t="s">
        <v>405</v>
      </c>
      <c r="Q30" s="235"/>
      <c r="R30" s="576"/>
      <c r="S30" s="576"/>
      <c r="T30" s="112">
        <f t="shared" si="2"/>
        <v>10353.424473444878</v>
      </c>
      <c r="U30" s="576"/>
      <c r="V30" s="576"/>
    </row>
    <row r="31" spans="1:22" s="13" customFormat="1" ht="19.5" customHeight="1" thickBot="1">
      <c r="A31" s="120"/>
      <c r="B31" s="123"/>
      <c r="C31" s="127"/>
      <c r="D31" s="127"/>
      <c r="E31" s="226"/>
      <c r="F31" s="226"/>
      <c r="G31" s="226"/>
      <c r="H31" s="226"/>
      <c r="I31" s="228">
        <v>2008</v>
      </c>
      <c r="J31" s="359">
        <v>4934.227890064335</v>
      </c>
      <c r="K31" s="127">
        <f t="shared" si="0"/>
        <v>0</v>
      </c>
      <c r="L31" s="127">
        <f t="shared" si="1"/>
        <v>0</v>
      </c>
      <c r="M31" s="127">
        <v>4934.227890064335</v>
      </c>
      <c r="N31" s="118"/>
      <c r="O31" s="118"/>
      <c r="P31" s="238" t="s">
        <v>406</v>
      </c>
      <c r="Q31" s="248"/>
      <c r="R31" s="576"/>
      <c r="S31" s="576"/>
      <c r="T31" s="112">
        <f t="shared" si="2"/>
        <v>-4934.227890064335</v>
      </c>
      <c r="U31" s="576"/>
      <c r="V31" s="576"/>
    </row>
    <row r="32" spans="1:22" s="14" customFormat="1" ht="19.5" customHeight="1" thickBot="1">
      <c r="A32" s="120"/>
      <c r="B32" s="123"/>
      <c r="C32" s="112">
        <v>20000</v>
      </c>
      <c r="D32" s="112"/>
      <c r="E32" s="28"/>
      <c r="F32" s="241"/>
      <c r="G32" s="28">
        <v>2009</v>
      </c>
      <c r="H32" s="241">
        <v>20000</v>
      </c>
      <c r="I32" s="300">
        <v>2009</v>
      </c>
      <c r="J32" s="364">
        <v>0</v>
      </c>
      <c r="K32" s="127">
        <f t="shared" si="0"/>
        <v>14846</v>
      </c>
      <c r="L32" s="127">
        <f t="shared" si="1"/>
        <v>5154</v>
      </c>
      <c r="M32" s="112">
        <f>+J32</f>
        <v>0</v>
      </c>
      <c r="N32" s="112"/>
      <c r="O32" s="112"/>
      <c r="P32" s="231"/>
      <c r="Q32" s="231"/>
      <c r="R32" s="576"/>
      <c r="S32" s="576"/>
      <c r="T32" s="112">
        <f t="shared" si="2"/>
        <v>14846</v>
      </c>
      <c r="U32" s="576"/>
      <c r="V32" s="576"/>
    </row>
    <row r="33" spans="1:22" ht="19.5" customHeight="1" thickBot="1">
      <c r="A33" s="120"/>
      <c r="B33" s="123"/>
      <c r="C33" s="233">
        <v>20000</v>
      </c>
      <c r="D33" s="233"/>
      <c r="E33" s="123"/>
      <c r="F33" s="233"/>
      <c r="G33" s="123">
        <v>2010</v>
      </c>
      <c r="H33" s="233">
        <v>20000</v>
      </c>
      <c r="I33" s="302">
        <v>2010</v>
      </c>
      <c r="J33" s="355">
        <v>12205.968759044643</v>
      </c>
      <c r="K33" s="127">
        <f t="shared" si="0"/>
        <v>14846</v>
      </c>
      <c r="L33" s="127">
        <f t="shared" si="1"/>
        <v>5154</v>
      </c>
      <c r="M33" s="249">
        <v>12205.968759044643</v>
      </c>
      <c r="N33" s="249"/>
      <c r="O33" s="249"/>
      <c r="P33" s="365" t="s">
        <v>407</v>
      </c>
      <c r="Q33" s="250"/>
      <c r="R33" s="576"/>
      <c r="S33" s="576"/>
      <c r="T33" s="112">
        <f t="shared" si="2"/>
        <v>2640.031240955357</v>
      </c>
      <c r="U33" s="576"/>
      <c r="V33" s="576"/>
    </row>
    <row r="34" spans="1:22" ht="19.5" customHeight="1" thickBot="1">
      <c r="A34" s="120"/>
      <c r="B34" s="123"/>
      <c r="C34" s="123"/>
      <c r="D34" s="123"/>
      <c r="E34" s="123"/>
      <c r="F34" s="123"/>
      <c r="G34" s="123"/>
      <c r="H34" s="123"/>
      <c r="I34" s="302">
        <v>2010</v>
      </c>
      <c r="J34" s="355">
        <v>455.84134461238233</v>
      </c>
      <c r="K34" s="127">
        <f t="shared" si="0"/>
        <v>0</v>
      </c>
      <c r="L34" s="127">
        <f t="shared" si="1"/>
        <v>0</v>
      </c>
      <c r="M34" s="249">
        <v>455.84134461238233</v>
      </c>
      <c r="N34" s="249"/>
      <c r="O34" s="249"/>
      <c r="P34" s="126" t="s">
        <v>408</v>
      </c>
      <c r="Q34" s="250"/>
      <c r="R34" s="576"/>
      <c r="S34" s="576"/>
      <c r="T34" s="112">
        <f t="shared" si="2"/>
        <v>-455.84134461238233</v>
      </c>
      <c r="U34" s="576"/>
      <c r="V34" s="576"/>
    </row>
    <row r="35" spans="1:22" ht="19.5" customHeight="1" thickBot="1">
      <c r="A35" s="120"/>
      <c r="B35" s="123"/>
      <c r="C35" s="123"/>
      <c r="D35" s="123"/>
      <c r="E35" s="123"/>
      <c r="F35" s="123"/>
      <c r="G35" s="123"/>
      <c r="H35" s="123"/>
      <c r="I35" s="302">
        <v>2010</v>
      </c>
      <c r="J35" s="355">
        <v>7854.155726439734</v>
      </c>
      <c r="K35" s="127">
        <f t="shared" si="0"/>
        <v>0</v>
      </c>
      <c r="L35" s="127">
        <f t="shared" si="1"/>
        <v>0</v>
      </c>
      <c r="M35" s="249">
        <v>7854.155726439734</v>
      </c>
      <c r="N35" s="249"/>
      <c r="O35" s="249"/>
      <c r="P35" s="126" t="s">
        <v>409</v>
      </c>
      <c r="Q35" s="250"/>
      <c r="R35" s="576"/>
      <c r="S35" s="576"/>
      <c r="T35" s="112">
        <f t="shared" si="2"/>
        <v>-7854.155726439734</v>
      </c>
      <c r="U35" s="576"/>
      <c r="V35" s="576"/>
    </row>
    <row r="36" spans="1:22" ht="19.5" customHeight="1" thickBot="1">
      <c r="A36" s="120"/>
      <c r="B36" s="123"/>
      <c r="C36" s="123"/>
      <c r="D36" s="123"/>
      <c r="E36" s="123"/>
      <c r="F36" s="123"/>
      <c r="G36" s="123"/>
      <c r="H36" s="123"/>
      <c r="I36" s="302">
        <v>2010</v>
      </c>
      <c r="J36" s="355">
        <v>3788.8270170312253</v>
      </c>
      <c r="K36" s="127">
        <f t="shared" si="0"/>
        <v>0</v>
      </c>
      <c r="L36" s="127">
        <f t="shared" si="1"/>
        <v>0</v>
      </c>
      <c r="M36" s="249">
        <v>3788.8270170312253</v>
      </c>
      <c r="N36" s="249"/>
      <c r="O36" s="249"/>
      <c r="P36" s="129" t="s">
        <v>410</v>
      </c>
      <c r="Q36" s="250"/>
      <c r="R36" s="576"/>
      <c r="S36" s="576"/>
      <c r="T36" s="112">
        <f t="shared" si="2"/>
        <v>-3788.8270170312253</v>
      </c>
      <c r="U36" s="576"/>
      <c r="V36" s="576"/>
    </row>
    <row r="37" spans="1:22" s="13" customFormat="1" ht="16.5" thickBot="1">
      <c r="A37" s="120"/>
      <c r="B37" s="123"/>
      <c r="C37" s="226"/>
      <c r="D37" s="226"/>
      <c r="E37" s="226"/>
      <c r="F37" s="226"/>
      <c r="G37" s="226"/>
      <c r="H37" s="226"/>
      <c r="I37" s="228">
        <v>2010</v>
      </c>
      <c r="J37" s="359">
        <v>3713.99257191087</v>
      </c>
      <c r="K37" s="127">
        <f t="shared" si="0"/>
        <v>0</v>
      </c>
      <c r="L37" s="127">
        <f t="shared" si="1"/>
        <v>0</v>
      </c>
      <c r="M37" s="261">
        <v>3713.99257191087</v>
      </c>
      <c r="N37" s="261"/>
      <c r="O37" s="261"/>
      <c r="P37" s="360" t="s">
        <v>411</v>
      </c>
      <c r="Q37" s="266"/>
      <c r="R37" s="576"/>
      <c r="S37" s="576"/>
      <c r="T37" s="112">
        <f t="shared" si="2"/>
        <v>-3713.99257191087</v>
      </c>
      <c r="U37" s="576"/>
      <c r="V37" s="576"/>
    </row>
    <row r="38" spans="1:22" s="1" customFormat="1" ht="19.5" customHeight="1" thickBot="1">
      <c r="A38" s="120"/>
      <c r="B38" s="123"/>
      <c r="C38" s="233">
        <v>20000</v>
      </c>
      <c r="D38" s="233"/>
      <c r="E38" s="123"/>
      <c r="F38" s="233"/>
      <c r="G38" s="123">
        <v>2011</v>
      </c>
      <c r="H38" s="233">
        <v>20000</v>
      </c>
      <c r="I38" s="302">
        <v>2011</v>
      </c>
      <c r="J38" s="355">
        <v>3736</v>
      </c>
      <c r="K38" s="127">
        <f t="shared" si="0"/>
        <v>14846</v>
      </c>
      <c r="L38" s="127">
        <f t="shared" si="1"/>
        <v>5154</v>
      </c>
      <c r="M38" s="249">
        <v>3736</v>
      </c>
      <c r="N38" s="249"/>
      <c r="O38" s="249"/>
      <c r="P38" s="363" t="s">
        <v>409</v>
      </c>
      <c r="Q38" s="250"/>
      <c r="R38" s="576"/>
      <c r="S38" s="576"/>
      <c r="T38" s="112">
        <f t="shared" si="2"/>
        <v>11110</v>
      </c>
      <c r="U38" s="576"/>
      <c r="V38" s="576"/>
    </row>
    <row r="39" spans="1:22" s="1" customFormat="1" ht="19.5" customHeight="1" thickBot="1">
      <c r="A39" s="120"/>
      <c r="B39" s="123"/>
      <c r="C39" s="123"/>
      <c r="D39" s="123"/>
      <c r="E39" s="123"/>
      <c r="F39" s="123"/>
      <c r="G39" s="123"/>
      <c r="H39" s="123"/>
      <c r="I39" s="123">
        <v>2011</v>
      </c>
      <c r="J39" s="118">
        <v>18746</v>
      </c>
      <c r="K39" s="127">
        <f t="shared" si="0"/>
        <v>0</v>
      </c>
      <c r="L39" s="127">
        <f t="shared" si="1"/>
        <v>0</v>
      </c>
      <c r="M39" s="118">
        <v>18746</v>
      </c>
      <c r="N39" s="118"/>
      <c r="O39" s="118"/>
      <c r="P39" s="126" t="s">
        <v>412</v>
      </c>
      <c r="Q39" s="250"/>
      <c r="R39" s="576"/>
      <c r="S39" s="576"/>
      <c r="T39" s="112">
        <f t="shared" si="2"/>
        <v>-18746</v>
      </c>
      <c r="U39" s="576"/>
      <c r="V39" s="576"/>
    </row>
    <row r="40" spans="1:22" s="1" customFormat="1" ht="35.25" customHeight="1" thickBot="1">
      <c r="A40" s="120"/>
      <c r="B40" s="123"/>
      <c r="C40" s="123"/>
      <c r="D40" s="123"/>
      <c r="E40" s="123"/>
      <c r="F40" s="123"/>
      <c r="G40" s="123"/>
      <c r="H40" s="123"/>
      <c r="I40" s="123">
        <v>2011</v>
      </c>
      <c r="J40" s="118">
        <v>14061.632252017258</v>
      </c>
      <c r="K40" s="127">
        <f t="shared" si="0"/>
        <v>0</v>
      </c>
      <c r="L40" s="127">
        <f t="shared" si="1"/>
        <v>0</v>
      </c>
      <c r="M40" s="118">
        <v>14061.632252017258</v>
      </c>
      <c r="N40" s="118"/>
      <c r="O40" s="118"/>
      <c r="P40" s="129" t="s">
        <v>413</v>
      </c>
      <c r="Q40" s="250"/>
      <c r="R40" s="576"/>
      <c r="S40" s="576"/>
      <c r="T40" s="112">
        <f t="shared" si="2"/>
        <v>-14061.632252017258</v>
      </c>
      <c r="U40" s="576"/>
      <c r="V40" s="576"/>
    </row>
    <row r="41" spans="1:22" s="1" customFormat="1" ht="32.25" thickBot="1">
      <c r="A41" s="120"/>
      <c r="B41" s="123"/>
      <c r="C41" s="226"/>
      <c r="D41" s="226"/>
      <c r="E41" s="226"/>
      <c r="F41" s="226"/>
      <c r="G41" s="226"/>
      <c r="H41" s="226"/>
      <c r="I41" s="302">
        <v>2011</v>
      </c>
      <c r="J41" s="359">
        <v>5091</v>
      </c>
      <c r="K41" s="127">
        <f t="shared" si="0"/>
        <v>0</v>
      </c>
      <c r="L41" s="127">
        <f t="shared" si="1"/>
        <v>0</v>
      </c>
      <c r="M41" s="261">
        <v>5091</v>
      </c>
      <c r="N41" s="249"/>
      <c r="O41" s="249"/>
      <c r="P41" s="366" t="s">
        <v>414</v>
      </c>
      <c r="Q41" s="266"/>
      <c r="R41" s="576"/>
      <c r="S41" s="576"/>
      <c r="T41" s="112">
        <f t="shared" si="2"/>
        <v>-5091</v>
      </c>
      <c r="U41" s="576"/>
      <c r="V41" s="576"/>
    </row>
    <row r="42" spans="1:22" s="1" customFormat="1" ht="19.5" customHeight="1" thickBot="1">
      <c r="A42" s="120"/>
      <c r="B42" s="123"/>
      <c r="C42" s="118">
        <v>20000</v>
      </c>
      <c r="D42" s="123"/>
      <c r="E42" s="123"/>
      <c r="F42" s="233"/>
      <c r="G42" s="123">
        <v>2012</v>
      </c>
      <c r="H42" s="233">
        <v>20000</v>
      </c>
      <c r="I42" s="302"/>
      <c r="J42" s="355"/>
      <c r="K42" s="127">
        <f t="shared" si="0"/>
        <v>14846</v>
      </c>
      <c r="L42" s="127">
        <f t="shared" si="1"/>
        <v>5154</v>
      </c>
      <c r="M42" s="118">
        <v>109017.36888670866</v>
      </c>
      <c r="N42" s="433"/>
      <c r="O42" s="133"/>
      <c r="P42" s="367" t="s">
        <v>415</v>
      </c>
      <c r="Q42" s="235"/>
      <c r="R42" s="576"/>
      <c r="S42" s="576"/>
      <c r="T42" s="112">
        <f>+K42-M42-N42</f>
        <v>-94171.36888670866</v>
      </c>
      <c r="U42" s="576"/>
      <c r="V42" s="576"/>
    </row>
    <row r="43" spans="1:22" s="1" customFormat="1" ht="19.5" customHeight="1" thickBot="1">
      <c r="A43" s="120"/>
      <c r="B43" s="123"/>
      <c r="C43" s="118"/>
      <c r="D43" s="123"/>
      <c r="E43" s="123"/>
      <c r="F43" s="233"/>
      <c r="G43" s="123"/>
      <c r="H43" s="233"/>
      <c r="I43" s="123"/>
      <c r="J43" s="118"/>
      <c r="K43" s="127">
        <f t="shared" si="0"/>
        <v>0</v>
      </c>
      <c r="L43" s="127">
        <f t="shared" si="1"/>
        <v>0</v>
      </c>
      <c r="M43" s="118">
        <v>12435.750670794634</v>
      </c>
      <c r="N43" s="118"/>
      <c r="O43" s="118"/>
      <c r="P43" s="368" t="s">
        <v>416</v>
      </c>
      <c r="Q43" s="235"/>
      <c r="R43" s="576"/>
      <c r="S43" s="576"/>
      <c r="T43" s="112">
        <f>+K43-M43-N43</f>
        <v>-12435.750670794634</v>
      </c>
      <c r="U43" s="576"/>
      <c r="V43" s="576"/>
    </row>
    <row r="44" spans="1:22" s="1" customFormat="1" ht="51" customHeight="1" thickBot="1">
      <c r="A44" s="120"/>
      <c r="B44" s="123"/>
      <c r="C44" s="127"/>
      <c r="D44" s="226"/>
      <c r="E44" s="226"/>
      <c r="F44" s="327"/>
      <c r="G44" s="226"/>
      <c r="H44" s="327"/>
      <c r="I44" s="228"/>
      <c r="J44" s="359"/>
      <c r="K44" s="127">
        <f>+K42*$H44</f>
        <v>0</v>
      </c>
      <c r="L44" s="127">
        <f t="shared" si="1"/>
        <v>0</v>
      </c>
      <c r="M44" s="127">
        <v>-379</v>
      </c>
      <c r="N44" s="127"/>
      <c r="O44" s="127"/>
      <c r="P44" s="332" t="s">
        <v>417</v>
      </c>
      <c r="Q44" s="248"/>
      <c r="R44" s="578"/>
      <c r="S44" s="578"/>
      <c r="T44" s="112">
        <f>+K44-M44-N44</f>
        <v>379</v>
      </c>
      <c r="U44" s="578"/>
      <c r="V44" s="578"/>
    </row>
    <row r="45" spans="1:22" s="1" customFormat="1" ht="19.5" customHeight="1" thickBot="1">
      <c r="A45" s="120"/>
      <c r="B45" s="123"/>
      <c r="C45" s="118">
        <v>20000</v>
      </c>
      <c r="D45" s="123"/>
      <c r="E45" s="123"/>
      <c r="F45" s="233"/>
      <c r="G45" s="123">
        <v>2013</v>
      </c>
      <c r="H45" s="233">
        <v>20000</v>
      </c>
      <c r="I45" s="302"/>
      <c r="J45" s="355"/>
      <c r="K45" s="127">
        <f aca="true" t="shared" si="4" ref="K45:K51">+H45*K$7</f>
        <v>14846</v>
      </c>
      <c r="L45" s="127">
        <f t="shared" si="1"/>
        <v>5154</v>
      </c>
      <c r="M45" s="118">
        <v>0</v>
      </c>
      <c r="N45" s="118">
        <v>38877</v>
      </c>
      <c r="O45" s="118"/>
      <c r="P45" s="369"/>
      <c r="Q45" s="235"/>
      <c r="R45" s="248"/>
      <c r="S45" s="370"/>
      <c r="T45" s="112">
        <f>+K45-M45-N45</f>
        <v>-24031</v>
      </c>
      <c r="U45" s="266"/>
      <c r="V45" s="248"/>
    </row>
    <row r="46" spans="1:22" s="1" customFormat="1" ht="19.5" customHeight="1" thickBot="1">
      <c r="A46" s="120"/>
      <c r="B46" s="123"/>
      <c r="C46" s="112">
        <v>20000</v>
      </c>
      <c r="D46" s="28"/>
      <c r="E46" s="28"/>
      <c r="F46" s="241"/>
      <c r="G46" s="28">
        <v>2014</v>
      </c>
      <c r="H46" s="241">
        <v>20000</v>
      </c>
      <c r="I46" s="300"/>
      <c r="J46" s="364"/>
      <c r="K46" s="127">
        <f t="shared" si="4"/>
        <v>14846</v>
      </c>
      <c r="L46" s="127">
        <f t="shared" si="1"/>
        <v>5154</v>
      </c>
      <c r="M46" s="112">
        <v>0</v>
      </c>
      <c r="N46" s="112">
        <v>20000</v>
      </c>
      <c r="O46" s="112"/>
      <c r="P46" s="333"/>
      <c r="Q46" s="235"/>
      <c r="R46" s="248"/>
      <c r="S46" s="370"/>
      <c r="T46" s="112">
        <f t="shared" si="2"/>
        <v>-5154</v>
      </c>
      <c r="U46" s="266"/>
      <c r="V46" s="248"/>
    </row>
    <row r="47" spans="1:22" s="1" customFormat="1" ht="19.5" customHeight="1" thickBot="1">
      <c r="A47" s="120"/>
      <c r="B47" s="123"/>
      <c r="C47" s="112">
        <v>20000</v>
      </c>
      <c r="D47" s="28"/>
      <c r="E47" s="28"/>
      <c r="F47" s="241"/>
      <c r="G47" s="28">
        <v>2015</v>
      </c>
      <c r="H47" s="241">
        <v>20000</v>
      </c>
      <c r="I47" s="300"/>
      <c r="J47" s="364"/>
      <c r="K47" s="127">
        <f t="shared" si="4"/>
        <v>14846</v>
      </c>
      <c r="L47" s="127">
        <f t="shared" si="1"/>
        <v>5154</v>
      </c>
      <c r="M47" s="112">
        <v>0</v>
      </c>
      <c r="N47" s="112">
        <v>20000</v>
      </c>
      <c r="O47" s="112"/>
      <c r="P47" s="333"/>
      <c r="Q47" s="235"/>
      <c r="R47" s="248"/>
      <c r="S47" s="370"/>
      <c r="T47" s="112">
        <f t="shared" si="2"/>
        <v>-5154</v>
      </c>
      <c r="U47" s="266"/>
      <c r="V47" s="248"/>
    </row>
    <row r="48" spans="1:22" s="1" customFormat="1" ht="19.5" customHeight="1" thickBot="1">
      <c r="A48" s="120"/>
      <c r="B48" s="123"/>
      <c r="C48" s="112">
        <v>20000</v>
      </c>
      <c r="D48" s="28"/>
      <c r="E48" s="28"/>
      <c r="F48" s="241"/>
      <c r="G48" s="28">
        <v>2016</v>
      </c>
      <c r="H48" s="241">
        <v>20000</v>
      </c>
      <c r="I48" s="300"/>
      <c r="J48" s="364"/>
      <c r="K48" s="127">
        <f t="shared" si="4"/>
        <v>14846</v>
      </c>
      <c r="L48" s="127">
        <f t="shared" si="1"/>
        <v>5154</v>
      </c>
      <c r="M48" s="112">
        <v>0</v>
      </c>
      <c r="N48" s="112">
        <v>20000</v>
      </c>
      <c r="O48" s="112"/>
      <c r="P48" s="333"/>
      <c r="Q48" s="235"/>
      <c r="R48" s="248"/>
      <c r="S48" s="370"/>
      <c r="T48" s="112">
        <f t="shared" si="2"/>
        <v>-5154</v>
      </c>
      <c r="U48" s="266"/>
      <c r="V48" s="248"/>
    </row>
    <row r="49" spans="1:22" s="1" customFormat="1" ht="19.5" customHeight="1" thickBot="1">
      <c r="A49" s="120"/>
      <c r="B49" s="123"/>
      <c r="C49" s="112">
        <v>20000</v>
      </c>
      <c r="D49" s="28"/>
      <c r="E49" s="28"/>
      <c r="F49" s="241"/>
      <c r="G49" s="28">
        <v>2017</v>
      </c>
      <c r="H49" s="241">
        <v>20000</v>
      </c>
      <c r="I49" s="300"/>
      <c r="J49" s="364"/>
      <c r="K49" s="127">
        <f t="shared" si="4"/>
        <v>14846</v>
      </c>
      <c r="L49" s="127">
        <f t="shared" si="1"/>
        <v>5154</v>
      </c>
      <c r="M49" s="112">
        <v>0</v>
      </c>
      <c r="N49" s="112">
        <v>20000</v>
      </c>
      <c r="O49" s="112"/>
      <c r="P49" s="333"/>
      <c r="Q49" s="235"/>
      <c r="R49" s="248"/>
      <c r="S49" s="370"/>
      <c r="T49" s="112">
        <f>+K49-M49-N49</f>
        <v>-5154</v>
      </c>
      <c r="U49" s="266"/>
      <c r="V49" s="248"/>
    </row>
    <row r="50" spans="1:22" s="1" customFormat="1" ht="19.5" customHeight="1" thickBot="1">
      <c r="A50" s="120"/>
      <c r="B50" s="123"/>
      <c r="C50" s="112">
        <v>20000</v>
      </c>
      <c r="D50" s="28"/>
      <c r="E50" s="28"/>
      <c r="F50" s="241"/>
      <c r="G50" s="28">
        <v>2018</v>
      </c>
      <c r="H50" s="241">
        <v>20000</v>
      </c>
      <c r="I50" s="300"/>
      <c r="J50" s="364"/>
      <c r="K50" s="127">
        <f t="shared" si="4"/>
        <v>14846</v>
      </c>
      <c r="L50" s="127">
        <f t="shared" si="1"/>
        <v>5154</v>
      </c>
      <c r="M50" s="112">
        <v>0</v>
      </c>
      <c r="N50" s="112">
        <v>20000</v>
      </c>
      <c r="O50" s="112"/>
      <c r="P50" s="333"/>
      <c r="Q50" s="235"/>
      <c r="R50" s="248"/>
      <c r="S50" s="370"/>
      <c r="T50" s="112">
        <f>+K50-M50-N50</f>
        <v>-5154</v>
      </c>
      <c r="U50" s="266"/>
      <c r="V50" s="248"/>
    </row>
    <row r="51" spans="1:22" s="1" customFormat="1" ht="19.5" customHeight="1" thickBot="1">
      <c r="A51" s="120"/>
      <c r="B51" s="123"/>
      <c r="C51" s="112">
        <v>20000</v>
      </c>
      <c r="D51" s="116" t="s">
        <v>70</v>
      </c>
      <c r="E51" s="28"/>
      <c r="F51" s="241"/>
      <c r="G51" s="568">
        <v>2019</v>
      </c>
      <c r="H51" s="241">
        <v>20000</v>
      </c>
      <c r="I51" s="300"/>
      <c r="J51" s="364"/>
      <c r="K51" s="127">
        <f t="shared" si="4"/>
        <v>14846</v>
      </c>
      <c r="L51" s="127"/>
      <c r="M51" s="112"/>
      <c r="N51" s="112">
        <v>20000</v>
      </c>
      <c r="O51" s="112"/>
      <c r="P51" s="333"/>
      <c r="Q51" s="235"/>
      <c r="R51" s="248"/>
      <c r="S51" s="370"/>
      <c r="T51" s="112">
        <f>+K51-M51-N51</f>
        <v>-5154</v>
      </c>
      <c r="U51" s="266"/>
      <c r="V51" s="248"/>
    </row>
    <row r="52" spans="1:22" s="1" customFormat="1" ht="19.5" customHeight="1" thickBot="1">
      <c r="A52" s="120"/>
      <c r="B52" s="123"/>
      <c r="C52" s="112"/>
      <c r="D52" s="116" t="s">
        <v>46</v>
      </c>
      <c r="E52" s="28"/>
      <c r="F52" s="241"/>
      <c r="G52" s="570"/>
      <c r="H52" s="241"/>
      <c r="I52" s="300"/>
      <c r="J52" s="364"/>
      <c r="K52" s="127"/>
      <c r="L52" s="127">
        <f>+H51*L$7</f>
        <v>5154</v>
      </c>
      <c r="M52" s="112"/>
      <c r="N52" s="112"/>
      <c r="O52" s="112"/>
      <c r="P52" s="333"/>
      <c r="Q52" s="235"/>
      <c r="R52" s="248"/>
      <c r="S52" s="370"/>
      <c r="T52" s="112"/>
      <c r="U52" s="266"/>
      <c r="V52" s="248"/>
    </row>
    <row r="53" spans="1:22" ht="19.5" customHeight="1" thickBot="1">
      <c r="A53" s="371"/>
      <c r="B53" s="372" t="s">
        <v>5</v>
      </c>
      <c r="C53" s="373"/>
      <c r="D53" s="374"/>
      <c r="E53" s="375">
        <f>SUM(E9:E46)</f>
        <v>21.34</v>
      </c>
      <c r="F53" s="376"/>
      <c r="G53" s="372"/>
      <c r="H53" s="373">
        <f>SUM(H9:H52)</f>
        <v>480000</v>
      </c>
      <c r="I53" s="373">
        <f>SUM(I9:I50)</f>
        <v>54165</v>
      </c>
      <c r="J53" s="373">
        <f>SUM(J9:J50)</f>
        <v>200048.79940564255</v>
      </c>
      <c r="K53" s="373">
        <f>SUM(K9:K50)</f>
        <v>341458</v>
      </c>
      <c r="L53" s="373">
        <f>SUM(L9:L50)</f>
        <v>118542</v>
      </c>
      <c r="M53" s="373">
        <f>SUM(M9:M50)</f>
        <v>321122.9189631458</v>
      </c>
      <c r="N53" s="373">
        <f>SUM(N9:N52)</f>
        <v>158877</v>
      </c>
      <c r="O53" s="373">
        <f>SUM(O9:O51)</f>
        <v>0</v>
      </c>
      <c r="P53" s="373">
        <f>SUM(P9:P49)</f>
        <v>0</v>
      </c>
      <c r="Q53" s="373">
        <f>SUM(Q9:Q49)</f>
        <v>0</v>
      </c>
      <c r="R53" s="373">
        <f>SUM(R9:R49)</f>
        <v>0</v>
      </c>
      <c r="S53" s="373">
        <f>SUM(S9:S49)</f>
        <v>0</v>
      </c>
      <c r="T53" s="373">
        <v>0</v>
      </c>
      <c r="U53" s="377"/>
      <c r="V53" s="37"/>
    </row>
    <row r="54" spans="1:22" ht="19.5" customHeight="1" thickBot="1">
      <c r="A54" s="193"/>
      <c r="B54" s="378"/>
      <c r="C54" s="378"/>
      <c r="D54" s="378"/>
      <c r="E54" s="379"/>
      <c r="F54" s="380"/>
      <c r="G54" s="379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</row>
    <row r="55" spans="1:21" s="154" customFormat="1" ht="48.75" customHeight="1">
      <c r="A55" s="153"/>
      <c r="B55" s="153"/>
      <c r="C55" s="153"/>
      <c r="D55" s="555" t="s">
        <v>60</v>
      </c>
      <c r="E55" s="557" t="s">
        <v>61</v>
      </c>
      <c r="F55" s="557"/>
      <c r="G55" s="443" t="s">
        <v>119</v>
      </c>
      <c r="H55" s="444" t="s">
        <v>62</v>
      </c>
      <c r="I55" s="442" t="s">
        <v>63</v>
      </c>
      <c r="J55" s="445" t="s">
        <v>441</v>
      </c>
      <c r="K55" s="451" t="s">
        <v>447</v>
      </c>
      <c r="L55" s="451" t="s">
        <v>424</v>
      </c>
      <c r="M55" s="446" t="s">
        <v>64</v>
      </c>
      <c r="N55" s="153"/>
      <c r="O55" s="153"/>
      <c r="P55" s="153"/>
      <c r="Q55" s="153"/>
      <c r="R55" s="153"/>
      <c r="S55" s="153"/>
      <c r="T55" s="153"/>
      <c r="U55" s="153"/>
    </row>
    <row r="56" spans="1:22" s="157" customFormat="1" ht="15">
      <c r="A56" s="155"/>
      <c r="B56" s="381"/>
      <c r="C56" s="155"/>
      <c r="D56" s="556"/>
      <c r="E56" s="558"/>
      <c r="F56" s="558"/>
      <c r="G56" s="448" t="s">
        <v>442</v>
      </c>
      <c r="H56" s="449" t="s">
        <v>443</v>
      </c>
      <c r="I56" s="447" t="s">
        <v>444</v>
      </c>
      <c r="J56" s="447" t="s">
        <v>445</v>
      </c>
      <c r="K56" s="450" t="s">
        <v>444</v>
      </c>
      <c r="L56" s="452" t="s">
        <v>445</v>
      </c>
      <c r="M56" s="450" t="s">
        <v>446</v>
      </c>
      <c r="N56" s="382"/>
      <c r="O56" s="382"/>
      <c r="P56" s="383"/>
      <c r="Q56" s="383"/>
      <c r="R56" s="383"/>
      <c r="S56" s="383"/>
      <c r="T56" s="155"/>
      <c r="U56" s="383"/>
      <c r="V56" s="383"/>
    </row>
    <row r="57" spans="1:22" s="157" customFormat="1" ht="54" customHeight="1">
      <c r="A57" s="153"/>
      <c r="B57" s="153"/>
      <c r="C57" s="153"/>
      <c r="D57" s="476" t="s">
        <v>138</v>
      </c>
      <c r="E57" s="466">
        <v>15.840682</v>
      </c>
      <c r="F57" s="467">
        <v>0.7423</v>
      </c>
      <c r="G57" s="472">
        <f>341458+14846</f>
        <v>356304</v>
      </c>
      <c r="H57" s="473">
        <v>321123</v>
      </c>
      <c r="I57" s="472"/>
      <c r="J57" s="472"/>
      <c r="K57" s="472">
        <v>78877</v>
      </c>
      <c r="L57" s="463"/>
      <c r="M57" s="465">
        <f>G57-H57-K57</f>
        <v>-43696</v>
      </c>
      <c r="N57" s="153"/>
      <c r="O57" s="153"/>
      <c r="P57" s="153"/>
      <c r="Q57" s="153"/>
      <c r="R57" s="153"/>
      <c r="S57" s="153"/>
      <c r="T57" s="153"/>
      <c r="U57" s="153"/>
      <c r="V57" s="153"/>
    </row>
    <row r="58" spans="4:13" s="157" customFormat="1" ht="12.75">
      <c r="D58" s="468" t="s">
        <v>46</v>
      </c>
      <c r="E58" s="468">
        <v>5.499318</v>
      </c>
      <c r="F58" s="468">
        <v>0.2577</v>
      </c>
      <c r="G58" s="472">
        <f>118542+5154</f>
        <v>123696</v>
      </c>
      <c r="H58" s="472"/>
      <c r="I58" s="473"/>
      <c r="J58" s="472"/>
      <c r="K58" s="472">
        <f>60000+20000</f>
        <v>80000</v>
      </c>
      <c r="L58" s="468"/>
      <c r="M58" s="465">
        <f>G58-H58-K58</f>
        <v>43696</v>
      </c>
    </row>
    <row r="59" spans="1:21" s="154" customFormat="1" ht="30" customHeight="1">
      <c r="A59" s="153"/>
      <c r="B59" s="153"/>
      <c r="C59" s="153"/>
      <c r="D59" s="153"/>
      <c r="E59" s="153"/>
      <c r="F59" s="153"/>
      <c r="G59" s="470">
        <f aca="true" t="shared" si="5" ref="G59:M59">SUM(G57:G58)</f>
        <v>480000</v>
      </c>
      <c r="H59" s="482">
        <f t="shared" si="5"/>
        <v>321123</v>
      </c>
      <c r="I59" s="470">
        <f t="shared" si="5"/>
        <v>0</v>
      </c>
      <c r="J59" s="470">
        <f t="shared" si="5"/>
        <v>0</v>
      </c>
      <c r="K59" s="470">
        <f t="shared" si="5"/>
        <v>158877</v>
      </c>
      <c r="L59" s="470">
        <f t="shared" si="5"/>
        <v>0</v>
      </c>
      <c r="M59" s="482">
        <f t="shared" si="5"/>
        <v>0</v>
      </c>
      <c r="N59" s="471"/>
      <c r="O59" s="153"/>
      <c r="P59" s="153"/>
      <c r="Q59" s="153"/>
      <c r="R59" s="153"/>
      <c r="S59" s="153"/>
      <c r="T59" s="153"/>
      <c r="U59" s="153"/>
    </row>
    <row r="62" ht="15">
      <c r="T62" s="320">
        <v>32210.081036854186</v>
      </c>
    </row>
    <row r="65" ht="12.75">
      <c r="T65" s="4"/>
    </row>
  </sheetData>
  <sheetProtection/>
  <mergeCells count="18">
    <mergeCell ref="D55:D56"/>
    <mergeCell ref="E55:F56"/>
    <mergeCell ref="A1:T1"/>
    <mergeCell ref="A2:T2"/>
    <mergeCell ref="D4:D7"/>
    <mergeCell ref="E4:F6"/>
    <mergeCell ref="B9:B21"/>
    <mergeCell ref="R9:R44"/>
    <mergeCell ref="S9:S44"/>
    <mergeCell ref="G51:G52"/>
    <mergeCell ref="G5:H5"/>
    <mergeCell ref="U9:U44"/>
    <mergeCell ref="V9:V44"/>
    <mergeCell ref="U4:U7"/>
    <mergeCell ref="N4:N7"/>
    <mergeCell ref="O4:O7"/>
    <mergeCell ref="K4:L5"/>
    <mergeCell ref="V4:V7"/>
  </mergeCells>
  <printOptions horizontalCentered="1"/>
  <pageMargins left="0.5" right="0" top="0.65" bottom="0.5" header="0.5" footer="0.5"/>
  <pageSetup fitToHeight="0" fitToWidth="1" horizontalDpi="600" verticalDpi="600" orientation="landscape" paperSize="9" scale="41" r:id="rId1"/>
  <headerFooter alignWithMargins="0">
    <oddFooter>&amp;L&amp;8&amp;Z&amp;F&amp;D</oddFooter>
  </headerFooter>
  <rowBreaks count="1" manualBreakCount="1"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W36"/>
  <sheetViews>
    <sheetView view="pageBreakPreview" zoomScale="70" zoomScaleNormal="85" zoomScaleSheetLayoutView="70" zoomScalePageLayoutView="0" workbookViewId="0" topLeftCell="A12">
      <selection activeCell="I30" sqref="I30"/>
    </sheetView>
  </sheetViews>
  <sheetFormatPr defaultColWidth="9.140625" defaultRowHeight="12.75"/>
  <cols>
    <col min="1" max="1" width="27.421875" style="0" customWidth="1"/>
    <col min="2" max="2" width="18.28125" style="0" bestFit="1" customWidth="1"/>
    <col min="3" max="3" width="14.7109375" style="0" bestFit="1" customWidth="1"/>
    <col min="4" max="4" width="17.8515625" style="0" customWidth="1"/>
    <col min="5" max="5" width="19.8515625" style="0" bestFit="1" customWidth="1"/>
    <col min="6" max="6" width="16.00390625" style="0" customWidth="1"/>
    <col min="7" max="7" width="11.8515625" style="0" bestFit="1" customWidth="1"/>
    <col min="8" max="8" width="18.421875" style="0" bestFit="1" customWidth="1"/>
    <col min="9" max="12" width="14.7109375" style="0" customWidth="1"/>
    <col min="13" max="13" width="8.7109375" style="0" customWidth="1"/>
    <col min="14" max="14" width="13.7109375" style="0" customWidth="1"/>
    <col min="15" max="15" width="14.8515625" style="0" customWidth="1"/>
    <col min="16" max="16" width="61.57421875" style="0" bestFit="1" customWidth="1"/>
    <col min="17" max="17" width="14.421875" style="0" hidden="1" customWidth="1"/>
    <col min="18" max="18" width="21.8515625" style="0" hidden="1" customWidth="1"/>
    <col min="19" max="19" width="22.00390625" style="0" hidden="1" customWidth="1"/>
    <col min="20" max="20" width="16.28125" style="0" customWidth="1"/>
  </cols>
  <sheetData>
    <row r="1" spans="1:20" ht="26.25">
      <c r="A1" s="534" t="s">
        <v>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</row>
    <row r="2" spans="1:20" ht="21">
      <c r="A2" s="535" t="s">
        <v>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</row>
    <row r="3" spans="1:2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87" t="s">
        <v>24</v>
      </c>
      <c r="B4" s="88" t="s">
        <v>20</v>
      </c>
      <c r="C4" s="88" t="s">
        <v>17</v>
      </c>
      <c r="D4" s="536" t="s">
        <v>84</v>
      </c>
      <c r="E4" s="539" t="s">
        <v>85</v>
      </c>
      <c r="F4" s="540"/>
      <c r="G4" s="89"/>
      <c r="H4" s="90"/>
      <c r="I4" s="559" t="s">
        <v>86</v>
      </c>
      <c r="J4" s="560"/>
      <c r="K4" s="560"/>
      <c r="L4" s="561"/>
      <c r="M4" s="88"/>
      <c r="N4" s="552" t="s">
        <v>63</v>
      </c>
      <c r="O4" s="552" t="s">
        <v>424</v>
      </c>
      <c r="P4" s="88"/>
      <c r="Q4" s="88"/>
      <c r="R4" s="88"/>
      <c r="S4" s="88"/>
      <c r="T4" s="88"/>
    </row>
    <row r="5" spans="1:20" ht="16.5" thickBot="1">
      <c r="A5" s="91" t="s">
        <v>25</v>
      </c>
      <c r="B5" s="92" t="s">
        <v>21</v>
      </c>
      <c r="C5" s="92" t="s">
        <v>1</v>
      </c>
      <c r="D5" s="537"/>
      <c r="E5" s="541"/>
      <c r="F5" s="542"/>
      <c r="G5" s="547" t="s">
        <v>1</v>
      </c>
      <c r="H5" s="548"/>
      <c r="I5" s="562"/>
      <c r="J5" s="563"/>
      <c r="K5" s="563"/>
      <c r="L5" s="564"/>
      <c r="M5" s="92" t="s">
        <v>41</v>
      </c>
      <c r="N5" s="553"/>
      <c r="O5" s="553"/>
      <c r="P5" s="92"/>
      <c r="Q5" s="92"/>
      <c r="R5" s="92" t="s">
        <v>31</v>
      </c>
      <c r="S5" s="92" t="s">
        <v>34</v>
      </c>
      <c r="T5" s="92" t="s">
        <v>29</v>
      </c>
    </row>
    <row r="6" spans="1:20" ht="22.5" customHeight="1" thickBot="1">
      <c r="A6" s="91" t="s">
        <v>26</v>
      </c>
      <c r="B6" s="92" t="s">
        <v>22</v>
      </c>
      <c r="C6" s="92" t="s">
        <v>18</v>
      </c>
      <c r="D6" s="537"/>
      <c r="E6" s="543"/>
      <c r="F6" s="544"/>
      <c r="G6" s="197"/>
      <c r="H6" s="198"/>
      <c r="I6" s="161" t="s">
        <v>47</v>
      </c>
      <c r="J6" s="161" t="s">
        <v>69</v>
      </c>
      <c r="K6" s="161" t="s">
        <v>48</v>
      </c>
      <c r="L6" s="161" t="s">
        <v>418</v>
      </c>
      <c r="M6" s="95" t="s">
        <v>28</v>
      </c>
      <c r="N6" s="553"/>
      <c r="O6" s="553"/>
      <c r="P6" s="92" t="s">
        <v>42</v>
      </c>
      <c r="Q6" s="92" t="s">
        <v>30</v>
      </c>
      <c r="R6" s="92" t="s">
        <v>32</v>
      </c>
      <c r="S6" s="92" t="s">
        <v>35</v>
      </c>
      <c r="T6" s="92" t="s">
        <v>16</v>
      </c>
    </row>
    <row r="7" spans="1:20" ht="36" customHeight="1" thickBot="1">
      <c r="A7" s="162" t="s">
        <v>27</v>
      </c>
      <c r="B7" s="163" t="s">
        <v>23</v>
      </c>
      <c r="C7" s="163" t="s">
        <v>19</v>
      </c>
      <c r="D7" s="538"/>
      <c r="E7" s="98" t="s">
        <v>87</v>
      </c>
      <c r="F7" s="99" t="s">
        <v>44</v>
      </c>
      <c r="G7" s="199" t="s">
        <v>2</v>
      </c>
      <c r="H7" s="161" t="s">
        <v>0</v>
      </c>
      <c r="I7" s="384">
        <f>+F10</f>
        <v>0.0115</v>
      </c>
      <c r="J7" s="384">
        <f>+F11</f>
        <v>0.9785</v>
      </c>
      <c r="K7" s="384">
        <f>+F12</f>
        <v>0.0065</v>
      </c>
      <c r="L7" s="384">
        <f>+F13</f>
        <v>0.0035</v>
      </c>
      <c r="M7" s="167" t="s">
        <v>0</v>
      </c>
      <c r="N7" s="554"/>
      <c r="O7" s="554"/>
      <c r="P7" s="163"/>
      <c r="Q7" s="163" t="s">
        <v>37</v>
      </c>
      <c r="R7" s="168" t="s">
        <v>33</v>
      </c>
      <c r="S7" s="168" t="s">
        <v>36</v>
      </c>
      <c r="T7" s="163"/>
    </row>
    <row r="8" spans="1:21" s="170" customFormat="1" ht="15" customHeight="1" thickBot="1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/>
      <c r="G8" s="105">
        <v>6</v>
      </c>
      <c r="H8" s="105">
        <v>7</v>
      </c>
      <c r="I8" s="105"/>
      <c r="J8" s="105"/>
      <c r="K8" s="105">
        <v>8</v>
      </c>
      <c r="L8" s="105"/>
      <c r="M8" s="105">
        <v>9</v>
      </c>
      <c r="N8" s="105"/>
      <c r="O8" s="105"/>
      <c r="P8" s="105" t="s">
        <v>88</v>
      </c>
      <c r="Q8" s="105">
        <v>9</v>
      </c>
      <c r="R8" s="105">
        <v>12</v>
      </c>
      <c r="S8" s="105">
        <v>13</v>
      </c>
      <c r="T8" s="105">
        <v>14</v>
      </c>
      <c r="U8" s="169"/>
    </row>
    <row r="9" spans="1:20" s="1" customFormat="1" ht="16.5" thickBot="1">
      <c r="A9" s="385"/>
      <c r="B9" s="386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4"/>
      <c r="Q9" s="194"/>
      <c r="R9" s="194"/>
      <c r="S9" s="194"/>
      <c r="T9" s="195"/>
    </row>
    <row r="10" spans="1:23" s="1" customFormat="1" ht="19.5" customHeight="1" thickBot="1">
      <c r="A10" s="171" t="s">
        <v>419</v>
      </c>
      <c r="B10" s="172" t="s">
        <v>420</v>
      </c>
      <c r="C10" s="173">
        <v>20000</v>
      </c>
      <c r="D10" s="501" t="s">
        <v>47</v>
      </c>
      <c r="E10" s="387">
        <v>24.65</v>
      </c>
      <c r="F10" s="388">
        <v>0.0115</v>
      </c>
      <c r="G10" s="43">
        <v>2006</v>
      </c>
      <c r="H10" s="173">
        <v>10959</v>
      </c>
      <c r="I10" s="173">
        <f aca="true" t="shared" si="0" ref="I10:I17">+H10*I$7</f>
        <v>126.0285</v>
      </c>
      <c r="J10" s="173">
        <f>+H10*J$7</f>
        <v>10723.3815</v>
      </c>
      <c r="K10" s="173">
        <f>+H10*K$7</f>
        <v>71.23349999999999</v>
      </c>
      <c r="L10" s="173">
        <f>+H10*L$7</f>
        <v>38.356500000000004</v>
      </c>
      <c r="M10" s="173">
        <v>0</v>
      </c>
      <c r="N10" s="173"/>
      <c r="O10" s="173"/>
      <c r="P10" s="44"/>
      <c r="Q10" s="45"/>
      <c r="R10" s="568"/>
      <c r="S10" s="568"/>
      <c r="T10" s="173">
        <f>+H10-N10</f>
        <v>10959</v>
      </c>
      <c r="W10" s="318">
        <f>+H10-I10-J10-K10-L10</f>
        <v>1.4921397450962104E-13</v>
      </c>
    </row>
    <row r="11" spans="1:23" s="1" customFormat="1" ht="33.75" customHeight="1" thickBot="1">
      <c r="A11" s="117" t="s">
        <v>421</v>
      </c>
      <c r="B11" s="118" t="s">
        <v>94</v>
      </c>
      <c r="C11" s="119">
        <v>20000</v>
      </c>
      <c r="D11" s="251" t="s">
        <v>69</v>
      </c>
      <c r="E11" s="113">
        <v>2104.01</v>
      </c>
      <c r="F11" s="389">
        <v>0.9785</v>
      </c>
      <c r="G11" s="28">
        <v>2007</v>
      </c>
      <c r="H11" s="112">
        <v>96658</v>
      </c>
      <c r="I11" s="112">
        <f>+$H11*I7</f>
        <v>1111.567</v>
      </c>
      <c r="J11" s="112">
        <f>+$H11*J7</f>
        <v>94579.853</v>
      </c>
      <c r="K11" s="112">
        <f>+$H11*K7</f>
        <v>628.2769999999999</v>
      </c>
      <c r="L11" s="112">
        <f>+$H11*L7</f>
        <v>338.303</v>
      </c>
      <c r="M11" s="112">
        <v>0</v>
      </c>
      <c r="N11" s="112"/>
      <c r="O11" s="112"/>
      <c r="P11" s="56" t="s">
        <v>40</v>
      </c>
      <c r="Q11" s="45"/>
      <c r="R11" s="569"/>
      <c r="S11" s="569"/>
      <c r="T11" s="173">
        <f aca="true" t="shared" si="1" ref="T11:T27">+H11-N11</f>
        <v>96658</v>
      </c>
      <c r="W11" s="318">
        <f aca="true" t="shared" si="2" ref="W11:W28">+H11-I11-J11-K11-L11</f>
        <v>1.8189894035458565E-12</v>
      </c>
    </row>
    <row r="12" spans="1:23" s="1" customFormat="1" ht="19.5" customHeight="1" thickBot="1">
      <c r="A12" s="390" t="s">
        <v>422</v>
      </c>
      <c r="B12" s="177"/>
      <c r="C12" s="173">
        <v>20000</v>
      </c>
      <c r="D12" s="501" t="s">
        <v>418</v>
      </c>
      <c r="E12" s="113">
        <v>13.9</v>
      </c>
      <c r="F12" s="389">
        <v>0.0065</v>
      </c>
      <c r="G12" s="43">
        <v>2008</v>
      </c>
      <c r="H12" s="173">
        <v>20000</v>
      </c>
      <c r="I12" s="173">
        <f t="shared" si="0"/>
        <v>230</v>
      </c>
      <c r="J12" s="173">
        <f aca="true" t="shared" si="3" ref="J12:J17">+H12*J$7</f>
        <v>19570</v>
      </c>
      <c r="K12" s="173">
        <f aca="true" t="shared" si="4" ref="K12:K17">+H12*K$7</f>
        <v>130</v>
      </c>
      <c r="L12" s="173">
        <f aca="true" t="shared" si="5" ref="L12:L19">+H12*L$7</f>
        <v>70</v>
      </c>
      <c r="M12" s="173">
        <v>0</v>
      </c>
      <c r="N12" s="173"/>
      <c r="O12" s="173"/>
      <c r="P12" s="44"/>
      <c r="Q12" s="45"/>
      <c r="R12" s="569"/>
      <c r="S12" s="569"/>
      <c r="T12" s="173">
        <f t="shared" si="1"/>
        <v>20000</v>
      </c>
      <c r="W12" s="318">
        <f t="shared" si="2"/>
        <v>0</v>
      </c>
    </row>
    <row r="13" spans="1:23" s="1" customFormat="1" ht="19.5" customHeight="1" thickBot="1">
      <c r="A13" s="390" t="s">
        <v>423</v>
      </c>
      <c r="B13" s="177"/>
      <c r="C13" s="173">
        <v>20000</v>
      </c>
      <c r="D13" s="501" t="s">
        <v>48</v>
      </c>
      <c r="E13" s="387">
        <v>7.5</v>
      </c>
      <c r="F13" s="388">
        <v>0.0035</v>
      </c>
      <c r="G13" s="43">
        <v>2009</v>
      </c>
      <c r="H13" s="173">
        <v>20000</v>
      </c>
      <c r="I13" s="173">
        <f t="shared" si="0"/>
        <v>230</v>
      </c>
      <c r="J13" s="173">
        <f t="shared" si="3"/>
        <v>19570</v>
      </c>
      <c r="K13" s="173">
        <f t="shared" si="4"/>
        <v>130</v>
      </c>
      <c r="L13" s="173">
        <f t="shared" si="5"/>
        <v>70</v>
      </c>
      <c r="M13" s="173">
        <v>0</v>
      </c>
      <c r="N13" s="173"/>
      <c r="O13" s="173"/>
      <c r="P13" s="44"/>
      <c r="Q13" s="45"/>
      <c r="R13" s="569"/>
      <c r="S13" s="569"/>
      <c r="T13" s="173">
        <f t="shared" si="1"/>
        <v>20000</v>
      </c>
      <c r="W13" s="318">
        <f t="shared" si="2"/>
        <v>0</v>
      </c>
    </row>
    <row r="14" spans="1:23" s="1" customFormat="1" ht="19.5" customHeight="1" thickBot="1">
      <c r="A14" s="35"/>
      <c r="B14" s="177"/>
      <c r="C14" s="173">
        <v>20000</v>
      </c>
      <c r="D14" s="501"/>
      <c r="E14" s="387"/>
      <c r="F14" s="391"/>
      <c r="G14" s="43">
        <v>2010</v>
      </c>
      <c r="H14" s="173">
        <v>20000</v>
      </c>
      <c r="I14" s="173">
        <f t="shared" si="0"/>
        <v>230</v>
      </c>
      <c r="J14" s="173">
        <f t="shared" si="3"/>
        <v>19570</v>
      </c>
      <c r="K14" s="173">
        <f t="shared" si="4"/>
        <v>130</v>
      </c>
      <c r="L14" s="173">
        <f t="shared" si="5"/>
        <v>70</v>
      </c>
      <c r="M14" s="173">
        <v>0</v>
      </c>
      <c r="N14" s="173"/>
      <c r="O14" s="173"/>
      <c r="P14" s="44"/>
      <c r="Q14" s="45"/>
      <c r="R14" s="569"/>
      <c r="S14" s="569"/>
      <c r="T14" s="173">
        <f t="shared" si="1"/>
        <v>20000</v>
      </c>
      <c r="W14" s="318">
        <f t="shared" si="2"/>
        <v>0</v>
      </c>
    </row>
    <row r="15" spans="1:23" s="1" customFormat="1" ht="19.5" customHeight="1" thickBot="1">
      <c r="A15" s="35"/>
      <c r="B15" s="177"/>
      <c r="C15" s="181">
        <v>20000</v>
      </c>
      <c r="D15" s="502"/>
      <c r="E15" s="392"/>
      <c r="F15" s="393"/>
      <c r="G15" s="183">
        <v>2011</v>
      </c>
      <c r="H15" s="181">
        <v>20000</v>
      </c>
      <c r="I15" s="173">
        <f t="shared" si="0"/>
        <v>230</v>
      </c>
      <c r="J15" s="173">
        <f t="shared" si="3"/>
        <v>19570</v>
      </c>
      <c r="K15" s="173">
        <f t="shared" si="4"/>
        <v>130</v>
      </c>
      <c r="L15" s="173">
        <f t="shared" si="5"/>
        <v>70</v>
      </c>
      <c r="M15" s="173">
        <v>0</v>
      </c>
      <c r="N15" s="181"/>
      <c r="O15" s="181"/>
      <c r="P15" s="184"/>
      <c r="Q15" s="185"/>
      <c r="R15" s="569"/>
      <c r="S15" s="569"/>
      <c r="T15" s="173">
        <f t="shared" si="1"/>
        <v>20000</v>
      </c>
      <c r="W15" s="318">
        <f t="shared" si="2"/>
        <v>0</v>
      </c>
    </row>
    <row r="16" spans="1:23" s="1" customFormat="1" ht="19.5" customHeight="1" thickBot="1">
      <c r="A16" s="35"/>
      <c r="B16" s="180"/>
      <c r="C16" s="181">
        <v>20000</v>
      </c>
      <c r="D16" s="502"/>
      <c r="E16" s="392"/>
      <c r="F16" s="393"/>
      <c r="G16" s="183">
        <v>2012</v>
      </c>
      <c r="H16" s="181">
        <v>20000</v>
      </c>
      <c r="I16" s="173">
        <f t="shared" si="0"/>
        <v>230</v>
      </c>
      <c r="J16" s="173">
        <f t="shared" si="3"/>
        <v>19570</v>
      </c>
      <c r="K16" s="173">
        <f t="shared" si="4"/>
        <v>130</v>
      </c>
      <c r="L16" s="173">
        <f t="shared" si="5"/>
        <v>70</v>
      </c>
      <c r="M16" s="181">
        <v>0</v>
      </c>
      <c r="N16" s="181"/>
      <c r="O16" s="181"/>
      <c r="P16" s="184"/>
      <c r="Q16" s="185"/>
      <c r="R16" s="569"/>
      <c r="S16" s="569"/>
      <c r="T16" s="173">
        <f t="shared" si="1"/>
        <v>20000</v>
      </c>
      <c r="W16" s="318">
        <f t="shared" si="2"/>
        <v>0</v>
      </c>
    </row>
    <row r="17" spans="1:23" s="1" customFormat="1" ht="19.5" customHeight="1" thickBot="1">
      <c r="A17" s="35"/>
      <c r="B17" s="180"/>
      <c r="C17" s="181">
        <v>20000</v>
      </c>
      <c r="D17" s="502"/>
      <c r="E17" s="392"/>
      <c r="F17" s="181"/>
      <c r="G17" s="183">
        <v>2013</v>
      </c>
      <c r="H17" s="181">
        <v>20000</v>
      </c>
      <c r="I17" s="173">
        <f t="shared" si="0"/>
        <v>230</v>
      </c>
      <c r="J17" s="173">
        <f t="shared" si="3"/>
        <v>19570</v>
      </c>
      <c r="K17" s="173">
        <f t="shared" si="4"/>
        <v>130</v>
      </c>
      <c r="L17" s="173">
        <f t="shared" si="5"/>
        <v>70</v>
      </c>
      <c r="M17" s="181">
        <v>0</v>
      </c>
      <c r="N17" s="181">
        <v>227618</v>
      </c>
      <c r="O17" s="181"/>
      <c r="P17" s="184"/>
      <c r="Q17" s="185"/>
      <c r="R17" s="569"/>
      <c r="S17" s="569"/>
      <c r="T17" s="173">
        <f t="shared" si="1"/>
        <v>-207618</v>
      </c>
      <c r="W17" s="318">
        <f t="shared" si="2"/>
        <v>0</v>
      </c>
    </row>
    <row r="18" spans="1:23" s="1" customFormat="1" ht="19.5" customHeight="1" thickBot="1">
      <c r="A18" s="35"/>
      <c r="B18" s="180"/>
      <c r="C18" s="186">
        <v>20000</v>
      </c>
      <c r="D18" s="503"/>
      <c r="E18" s="394"/>
      <c r="F18" s="186"/>
      <c r="G18" s="188">
        <v>2014</v>
      </c>
      <c r="H18" s="186">
        <v>20000</v>
      </c>
      <c r="I18" s="186">
        <f>+$H18*I7</f>
        <v>230</v>
      </c>
      <c r="J18" s="186">
        <f>+$H18*J7</f>
        <v>19570</v>
      </c>
      <c r="K18" s="186">
        <f>+$H18*K7</f>
        <v>130</v>
      </c>
      <c r="L18" s="186">
        <f>+$H18*L7</f>
        <v>70</v>
      </c>
      <c r="M18" s="186">
        <v>0</v>
      </c>
      <c r="N18" s="186">
        <v>20000</v>
      </c>
      <c r="O18" s="186"/>
      <c r="P18" s="189"/>
      <c r="Q18" s="185"/>
      <c r="R18" s="569"/>
      <c r="S18" s="569"/>
      <c r="T18" s="173">
        <f t="shared" si="1"/>
        <v>0</v>
      </c>
      <c r="W18" s="318">
        <f t="shared" si="2"/>
        <v>0</v>
      </c>
    </row>
    <row r="19" spans="1:23" s="1" customFormat="1" ht="19.5" customHeight="1" thickBot="1">
      <c r="A19" s="35"/>
      <c r="B19" s="180"/>
      <c r="C19" s="181"/>
      <c r="D19" s="502"/>
      <c r="E19" s="392"/>
      <c r="F19" s="181"/>
      <c r="G19" s="183"/>
      <c r="H19" s="181"/>
      <c r="I19" s="181"/>
      <c r="J19" s="181"/>
      <c r="K19" s="181"/>
      <c r="L19" s="181">
        <f t="shared" si="5"/>
        <v>0</v>
      </c>
      <c r="M19" s="181">
        <v>0</v>
      </c>
      <c r="N19" s="181"/>
      <c r="O19" s="181"/>
      <c r="P19" s="190"/>
      <c r="Q19" s="185"/>
      <c r="R19" s="569"/>
      <c r="S19" s="569"/>
      <c r="T19" s="173">
        <f t="shared" si="1"/>
        <v>0</v>
      </c>
      <c r="W19" s="318">
        <f t="shared" si="2"/>
        <v>0</v>
      </c>
    </row>
    <row r="20" spans="1:23" s="1" customFormat="1" ht="19.5" customHeight="1" thickBot="1">
      <c r="A20" s="35"/>
      <c r="B20" s="180"/>
      <c r="C20" s="186">
        <v>20000</v>
      </c>
      <c r="D20" s="503"/>
      <c r="E20" s="394"/>
      <c r="F20" s="186"/>
      <c r="G20" s="188">
        <v>2015</v>
      </c>
      <c r="H20" s="186">
        <v>20000</v>
      </c>
      <c r="I20" s="186">
        <f>+$H20*I$7</f>
        <v>230</v>
      </c>
      <c r="J20" s="186">
        <f>+$H20*J$7</f>
        <v>19570</v>
      </c>
      <c r="K20" s="186">
        <f>+$H20*K$7</f>
        <v>130</v>
      </c>
      <c r="L20" s="186">
        <f>+$H20*L$7</f>
        <v>70</v>
      </c>
      <c r="M20" s="186">
        <v>0</v>
      </c>
      <c r="N20" s="186">
        <v>20000</v>
      </c>
      <c r="O20" s="186"/>
      <c r="P20" s="189"/>
      <c r="Q20" s="185"/>
      <c r="R20" s="569"/>
      <c r="S20" s="569"/>
      <c r="T20" s="173">
        <f t="shared" si="1"/>
        <v>0</v>
      </c>
      <c r="W20" s="318">
        <f t="shared" si="2"/>
        <v>0</v>
      </c>
    </row>
    <row r="21" spans="1:23" s="1" customFormat="1" ht="19.5" customHeight="1" thickBot="1">
      <c r="A21" s="35"/>
      <c r="B21" s="180"/>
      <c r="C21" s="186">
        <v>20000</v>
      </c>
      <c r="D21" s="503"/>
      <c r="E21" s="394"/>
      <c r="F21" s="186"/>
      <c r="G21" s="188">
        <v>2016</v>
      </c>
      <c r="H21" s="186">
        <v>63388</v>
      </c>
      <c r="I21" s="173">
        <f>+$H21*I7</f>
        <v>728.962</v>
      </c>
      <c r="J21" s="173">
        <f>+$H21*J7</f>
        <v>62025.158</v>
      </c>
      <c r="K21" s="173">
        <f>+$H21*K7</f>
        <v>412.022</v>
      </c>
      <c r="L21" s="173">
        <f>+$H21*L7</f>
        <v>221.858</v>
      </c>
      <c r="M21" s="186">
        <v>0</v>
      </c>
      <c r="N21" s="186">
        <v>63388</v>
      </c>
      <c r="O21" s="186"/>
      <c r="P21" s="189"/>
      <c r="Q21" s="185"/>
      <c r="R21" s="569"/>
      <c r="S21" s="569"/>
      <c r="T21" s="173">
        <f t="shared" si="1"/>
        <v>0</v>
      </c>
      <c r="W21" s="318">
        <f t="shared" si="2"/>
        <v>-2.6147972675971687E-12</v>
      </c>
    </row>
    <row r="22" spans="1:23" s="1" customFormat="1" ht="19.5" customHeight="1" thickBot="1">
      <c r="A22" s="35"/>
      <c r="B22" s="180"/>
      <c r="C22" s="173">
        <v>20000</v>
      </c>
      <c r="D22" s="501"/>
      <c r="E22" s="387"/>
      <c r="F22" s="173"/>
      <c r="G22" s="43">
        <v>2017</v>
      </c>
      <c r="H22" s="173">
        <v>30000</v>
      </c>
      <c r="I22" s="173">
        <f>+$H22*I7</f>
        <v>345</v>
      </c>
      <c r="J22" s="173">
        <f>+$H22*J7</f>
        <v>29355</v>
      </c>
      <c r="K22" s="173">
        <f>+$H22*K7</f>
        <v>195</v>
      </c>
      <c r="L22" s="173">
        <f>+$H22*L7</f>
        <v>105</v>
      </c>
      <c r="M22" s="173">
        <v>0</v>
      </c>
      <c r="N22" s="173">
        <v>30000</v>
      </c>
      <c r="O22" s="173"/>
      <c r="P22" s="440"/>
      <c r="Q22" s="185"/>
      <c r="R22" s="569"/>
      <c r="S22" s="569"/>
      <c r="T22" s="173">
        <f t="shared" si="1"/>
        <v>0</v>
      </c>
      <c r="W22" s="318">
        <f t="shared" si="2"/>
        <v>0</v>
      </c>
    </row>
    <row r="23" spans="1:23" s="1" customFormat="1" ht="19.5" customHeight="1" thickBot="1">
      <c r="A23" s="35"/>
      <c r="B23" s="180"/>
      <c r="C23" s="173">
        <v>20000</v>
      </c>
      <c r="D23" s="501"/>
      <c r="E23" s="387"/>
      <c r="F23" s="173"/>
      <c r="G23" s="43">
        <v>2018</v>
      </c>
      <c r="H23" s="173">
        <v>30000</v>
      </c>
      <c r="I23" s="173">
        <f>+$H23*I7</f>
        <v>345</v>
      </c>
      <c r="J23" s="173">
        <f>+$H23*J7</f>
        <v>29355</v>
      </c>
      <c r="K23" s="173">
        <f>+$H23*K7</f>
        <v>195</v>
      </c>
      <c r="L23" s="173">
        <f>+$H23*L7</f>
        <v>105</v>
      </c>
      <c r="M23" s="173">
        <v>0</v>
      </c>
      <c r="N23" s="173">
        <v>30000</v>
      </c>
      <c r="O23" s="173"/>
      <c r="P23" s="440"/>
      <c r="Q23" s="185"/>
      <c r="R23" s="569"/>
      <c r="S23" s="569"/>
      <c r="T23" s="173">
        <f>+H23-N23</f>
        <v>0</v>
      </c>
      <c r="W23" s="318">
        <f>+H23-I23-J23-K23-L23</f>
        <v>0</v>
      </c>
    </row>
    <row r="24" spans="1:23" s="1" customFormat="1" ht="19.5" customHeight="1" thickBot="1">
      <c r="A24" s="35"/>
      <c r="B24" s="180"/>
      <c r="C24" s="173">
        <v>20000</v>
      </c>
      <c r="D24" s="501" t="s">
        <v>47</v>
      </c>
      <c r="E24" s="392"/>
      <c r="F24" s="181"/>
      <c r="G24" s="183">
        <v>2019</v>
      </c>
      <c r="H24" s="181">
        <v>30000</v>
      </c>
      <c r="I24" s="181">
        <v>345</v>
      </c>
      <c r="J24" s="181"/>
      <c r="K24" s="181"/>
      <c r="L24" s="181"/>
      <c r="M24" s="181"/>
      <c r="N24" s="181">
        <v>345</v>
      </c>
      <c r="O24" s="181"/>
      <c r="P24" s="190"/>
      <c r="Q24" s="185"/>
      <c r="R24" s="569"/>
      <c r="S24" s="569"/>
      <c r="T24" s="173">
        <f t="shared" si="1"/>
        <v>29655</v>
      </c>
      <c r="W24" s="318"/>
    </row>
    <row r="25" spans="1:23" s="1" customFormat="1" ht="19.5" customHeight="1" thickBot="1">
      <c r="A25" s="35"/>
      <c r="B25" s="180"/>
      <c r="C25" s="181"/>
      <c r="D25" s="251" t="s">
        <v>69</v>
      </c>
      <c r="E25" s="392"/>
      <c r="F25" s="181"/>
      <c r="G25" s="183"/>
      <c r="H25" s="181"/>
      <c r="I25" s="181"/>
      <c r="J25" s="181">
        <v>29355</v>
      </c>
      <c r="K25" s="181"/>
      <c r="L25" s="181"/>
      <c r="M25" s="181"/>
      <c r="N25" s="181">
        <v>29550</v>
      </c>
      <c r="O25" s="181"/>
      <c r="P25" s="190"/>
      <c r="Q25" s="185"/>
      <c r="R25" s="569"/>
      <c r="S25" s="569"/>
      <c r="T25" s="173">
        <f t="shared" si="1"/>
        <v>-29550</v>
      </c>
      <c r="W25" s="318"/>
    </row>
    <row r="26" spans="1:23" s="1" customFormat="1" ht="19.5" customHeight="1" thickBot="1">
      <c r="A26" s="35"/>
      <c r="B26" s="180"/>
      <c r="C26" s="181"/>
      <c r="D26" s="501" t="s">
        <v>48</v>
      </c>
      <c r="E26" s="392"/>
      <c r="F26" s="181"/>
      <c r="G26" s="183"/>
      <c r="H26" s="181"/>
      <c r="I26" s="181"/>
      <c r="J26" s="181"/>
      <c r="K26" s="181">
        <v>195</v>
      </c>
      <c r="L26" s="181"/>
      <c r="M26" s="181"/>
      <c r="N26" s="181">
        <v>105</v>
      </c>
      <c r="O26" s="181"/>
      <c r="P26" s="190"/>
      <c r="Q26" s="185"/>
      <c r="R26" s="569"/>
      <c r="S26" s="569"/>
      <c r="T26" s="173">
        <f t="shared" si="1"/>
        <v>-105</v>
      </c>
      <c r="W26" s="318"/>
    </row>
    <row r="27" spans="1:23" s="1" customFormat="1" ht="19.5" customHeight="1" thickBot="1">
      <c r="A27" s="35"/>
      <c r="B27" s="180"/>
      <c r="C27" s="181"/>
      <c r="D27" s="501" t="s">
        <v>56</v>
      </c>
      <c r="E27" s="392"/>
      <c r="F27" s="181"/>
      <c r="G27" s="183"/>
      <c r="H27" s="181"/>
      <c r="I27" s="181"/>
      <c r="J27" s="181"/>
      <c r="K27" s="181"/>
      <c r="L27" s="181">
        <v>105</v>
      </c>
      <c r="M27" s="181"/>
      <c r="N27" s="181">
        <v>0</v>
      </c>
      <c r="O27" s="181"/>
      <c r="P27" s="190"/>
      <c r="Q27" s="185"/>
      <c r="R27" s="569"/>
      <c r="S27" s="569"/>
      <c r="T27" s="173">
        <f t="shared" si="1"/>
        <v>0</v>
      </c>
      <c r="W27" s="318"/>
    </row>
    <row r="28" spans="1:23" ht="19.5" customHeight="1" thickBot="1">
      <c r="A28" s="46"/>
      <c r="B28" s="36" t="s">
        <v>5</v>
      </c>
      <c r="C28" s="37">
        <f>SUM(C10:C18)</f>
        <v>180000</v>
      </c>
      <c r="D28" s="55"/>
      <c r="E28" s="395">
        <f>SUM(E10:E17)</f>
        <v>2150.0600000000004</v>
      </c>
      <c r="F28" s="37"/>
      <c r="G28" s="36"/>
      <c r="H28" s="37">
        <f aca="true" t="shared" si="6" ref="H28:N28">SUM(H10:H27)</f>
        <v>421005</v>
      </c>
      <c r="I28" s="37">
        <f>SUM(I10:I27)</f>
        <v>4841.5575</v>
      </c>
      <c r="J28" s="37">
        <f>SUM(J10:J27)</f>
        <v>411953.3925</v>
      </c>
      <c r="K28" s="37">
        <f>SUM(K10:K27)</f>
        <v>2736.5325</v>
      </c>
      <c r="L28" s="37">
        <f>SUM(L10:L27)</f>
        <v>1473.5175</v>
      </c>
      <c r="M28" s="37">
        <f t="shared" si="6"/>
        <v>0</v>
      </c>
      <c r="N28" s="37">
        <f t="shared" si="6"/>
        <v>421006</v>
      </c>
      <c r="O28" s="37"/>
      <c r="P28" s="377"/>
      <c r="Q28" s="37"/>
      <c r="R28" s="570"/>
      <c r="S28" s="570"/>
      <c r="T28" s="37">
        <f>SUM(T10:T27)</f>
        <v>-1</v>
      </c>
      <c r="U28" s="435" t="s">
        <v>83</v>
      </c>
      <c r="W28" s="318">
        <f t="shared" si="2"/>
        <v>-1.1368683772161603E-11</v>
      </c>
    </row>
    <row r="29" spans="1:20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5"/>
    </row>
    <row r="30" spans="1:18" ht="59.25" customHeight="1">
      <c r="A30" s="153"/>
      <c r="B30" s="469"/>
      <c r="C30" s="469"/>
      <c r="D30" s="555" t="s">
        <v>60</v>
      </c>
      <c r="E30" s="557" t="s">
        <v>61</v>
      </c>
      <c r="F30" s="557"/>
      <c r="G30" s="443" t="s">
        <v>119</v>
      </c>
      <c r="H30" s="444" t="s">
        <v>62</v>
      </c>
      <c r="I30" s="442" t="s">
        <v>63</v>
      </c>
      <c r="J30" s="451" t="s">
        <v>424</v>
      </c>
      <c r="K30" s="446" t="s">
        <v>64</v>
      </c>
      <c r="L30" s="469"/>
      <c r="M30" s="469"/>
      <c r="N30" s="469"/>
      <c r="O30" s="469"/>
      <c r="P30" s="469"/>
      <c r="Q30" s="469"/>
      <c r="R30" s="469"/>
    </row>
    <row r="31" spans="1:18" ht="14.25" customHeight="1" thickBot="1">
      <c r="A31" s="396"/>
      <c r="B31" s="396"/>
      <c r="C31" s="396"/>
      <c r="D31" s="556"/>
      <c r="E31" s="558"/>
      <c r="F31" s="558"/>
      <c r="G31" s="448" t="s">
        <v>442</v>
      </c>
      <c r="H31" s="449" t="s">
        <v>443</v>
      </c>
      <c r="I31" s="447" t="s">
        <v>444</v>
      </c>
      <c r="J31" s="452" t="s">
        <v>445</v>
      </c>
      <c r="K31" s="450" t="s">
        <v>446</v>
      </c>
      <c r="L31" s="396"/>
      <c r="M31" s="396"/>
      <c r="N31" s="396"/>
      <c r="O31" s="396"/>
      <c r="P31" s="396"/>
      <c r="Q31" s="396"/>
      <c r="R31" s="396"/>
    </row>
    <row r="32" spans="1:19" ht="56.25" customHeight="1" thickBot="1">
      <c r="A32" s="153"/>
      <c r="B32" s="153"/>
      <c r="C32" s="153"/>
      <c r="D32" s="460" t="s">
        <v>47</v>
      </c>
      <c r="E32" s="479">
        <v>24.65</v>
      </c>
      <c r="F32" s="480">
        <v>0.0115</v>
      </c>
      <c r="G32" s="472">
        <v>4842</v>
      </c>
      <c r="H32" s="473"/>
      <c r="I32" s="473">
        <f>I28</f>
        <v>4841.5575</v>
      </c>
      <c r="J32" s="463"/>
      <c r="K32" s="465">
        <f>G32-H32-I32</f>
        <v>0.44250000000010914</v>
      </c>
      <c r="L32" s="153"/>
      <c r="M32" s="153"/>
      <c r="N32" s="153"/>
      <c r="O32" s="153"/>
      <c r="P32" s="153"/>
      <c r="Q32" s="153"/>
      <c r="R32" s="153"/>
      <c r="S32" s="153"/>
    </row>
    <row r="33" spans="1:19" ht="16.5" thickBot="1">
      <c r="A33" s="157"/>
      <c r="B33" s="157"/>
      <c r="C33" s="157"/>
      <c r="D33" s="481" t="s">
        <v>69</v>
      </c>
      <c r="E33" s="479">
        <v>2104.01</v>
      </c>
      <c r="F33" s="480">
        <v>0.9785</v>
      </c>
      <c r="G33" s="472">
        <v>411953</v>
      </c>
      <c r="H33" s="472"/>
      <c r="I33" s="473">
        <f>J28</f>
        <v>411953.3925</v>
      </c>
      <c r="J33" s="468"/>
      <c r="K33" s="465">
        <f>G33-H33-I33</f>
        <v>-0.39250000001629815</v>
      </c>
      <c r="L33" s="157"/>
      <c r="M33" s="157"/>
      <c r="N33" s="157"/>
      <c r="O33" s="157"/>
      <c r="P33" s="157"/>
      <c r="Q33" s="157"/>
      <c r="R33" s="157"/>
      <c r="S33" s="157"/>
    </row>
    <row r="34" spans="1:19" ht="16.5" thickBot="1">
      <c r="A34" s="157"/>
      <c r="B34" s="157"/>
      <c r="C34" s="157"/>
      <c r="D34" s="460" t="s">
        <v>418</v>
      </c>
      <c r="E34" s="479">
        <v>13.9</v>
      </c>
      <c r="F34" s="480">
        <v>0.0065</v>
      </c>
      <c r="G34" s="472">
        <v>1474</v>
      </c>
      <c r="H34" s="472"/>
      <c r="I34" s="473">
        <v>1474</v>
      </c>
      <c r="J34" s="468"/>
      <c r="K34" s="465">
        <f>G34-H34-I34</f>
        <v>0</v>
      </c>
      <c r="L34" s="157"/>
      <c r="M34" s="157"/>
      <c r="N34" s="157"/>
      <c r="O34" s="157"/>
      <c r="P34" s="157"/>
      <c r="Q34" s="157"/>
      <c r="R34" s="157"/>
      <c r="S34" s="157"/>
    </row>
    <row r="35" spans="1:19" ht="16.5" thickBot="1">
      <c r="A35" s="157"/>
      <c r="B35" s="157"/>
      <c r="C35" s="157"/>
      <c r="D35" s="460" t="s">
        <v>48</v>
      </c>
      <c r="E35" s="479">
        <v>7.5</v>
      </c>
      <c r="F35" s="480">
        <v>0.0035</v>
      </c>
      <c r="G35" s="472">
        <v>2737</v>
      </c>
      <c r="H35" s="472"/>
      <c r="I35" s="473">
        <v>2737</v>
      </c>
      <c r="J35" s="468"/>
      <c r="K35" s="465">
        <f>G35-H35-I35</f>
        <v>0</v>
      </c>
      <c r="L35" s="157"/>
      <c r="M35" s="157"/>
      <c r="N35" s="157"/>
      <c r="O35" s="157"/>
      <c r="P35" s="157"/>
      <c r="Q35" s="157"/>
      <c r="R35" s="157"/>
      <c r="S35" s="157"/>
    </row>
    <row r="36" spans="1:19" s="154" customFormat="1" ht="30" customHeight="1">
      <c r="A36" s="153"/>
      <c r="B36" s="153"/>
      <c r="C36" s="153"/>
      <c r="D36" s="153"/>
      <c r="E36" s="153"/>
      <c r="F36" s="153"/>
      <c r="G36" s="470">
        <f>SUM(G32:G35)</f>
        <v>421006</v>
      </c>
      <c r="H36" s="470">
        <f>SUM(H32:H33)</f>
        <v>0</v>
      </c>
      <c r="I36" s="482">
        <f>SUM(I32:I35)</f>
        <v>421005.95</v>
      </c>
      <c r="J36" s="470">
        <f>SUM(J32:J33)</f>
        <v>0</v>
      </c>
      <c r="K36" s="482">
        <f>SUM(K32:K35)</f>
        <v>0.049999999983810994</v>
      </c>
      <c r="L36" s="153"/>
      <c r="M36" s="153"/>
      <c r="N36" s="153"/>
      <c r="O36" s="153"/>
      <c r="P36" s="153"/>
      <c r="Q36" s="153"/>
      <c r="R36" s="153"/>
      <c r="S36" s="153"/>
    </row>
  </sheetData>
  <sheetProtection/>
  <mergeCells count="12">
    <mergeCell ref="A1:T1"/>
    <mergeCell ref="A2:T2"/>
    <mergeCell ref="D4:D7"/>
    <mergeCell ref="E4:F6"/>
    <mergeCell ref="I4:L5"/>
    <mergeCell ref="G5:H5"/>
    <mergeCell ref="N4:N7"/>
    <mergeCell ref="O4:O7"/>
    <mergeCell ref="R10:R28"/>
    <mergeCell ref="S10:S28"/>
    <mergeCell ref="D30:D31"/>
    <mergeCell ref="E30:F31"/>
  </mergeCells>
  <printOptions horizontalCentered="1"/>
  <pageMargins left="0.5" right="0" top="0.84" bottom="0.5" header="0.5" footer="0.5"/>
  <pageSetup fitToHeight="0" fitToWidth="1" horizontalDpi="600" verticalDpi="600" orientation="landscape" paperSize="9" scale="45" r:id="rId1"/>
  <headerFooter alignWithMargins="0">
    <oddFooter>&amp;L&amp;8&amp;Z&amp;F&amp;D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 Khan</dc:creator>
  <cp:keywords/>
  <dc:description/>
  <cp:lastModifiedBy>Khurram</cp:lastModifiedBy>
  <cp:lastPrinted>2019-12-18T04:40:44Z</cp:lastPrinted>
  <dcterms:created xsi:type="dcterms:W3CDTF">2004-02-11T10:07:38Z</dcterms:created>
  <dcterms:modified xsi:type="dcterms:W3CDTF">2019-12-18T04:40:48Z</dcterms:modified>
  <cp:category/>
  <cp:version/>
  <cp:contentType/>
  <cp:contentStatus/>
</cp:coreProperties>
</file>